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0" windowWidth="12225" windowHeight="4230" firstSheet="7" activeTab="14"/>
  </bookViews>
  <sheets>
    <sheet name="Диаграмма1" sheetId="27" r:id="rId1"/>
    <sheet name="Степновский дс 2" sheetId="16" r:id="rId2"/>
    <sheet name="крусносописнкий дс" sheetId="15" r:id="rId3"/>
    <sheet name="Преображенский дс (3)" sheetId="26" r:id="rId4"/>
    <sheet name="образце" sheetId="14" r:id="rId5"/>
    <sheet name="Степновская СШ" sheetId="25" r:id="rId6"/>
    <sheet name="Сахаптинская смш" sheetId="24" r:id="rId7"/>
    <sheet name="Подсосенская СШ" sheetId="23" r:id="rId8"/>
    <sheet name="Преображенская СШ" sheetId="22" r:id="rId9"/>
    <sheet name="Павловская СШ" sheetId="21" r:id="rId10"/>
    <sheet name="Крутоярская СШ" sheetId="20" r:id="rId11"/>
    <sheet name="Краснополянская СШ" sheetId="19" r:id="rId12"/>
    <sheet name="Дороховска СШ" sheetId="18" r:id="rId13"/>
    <sheet name="гляденская СШ" sheetId="17" r:id="rId14"/>
    <sheet name="Схновская СШ" sheetId="13" r:id="rId15"/>
  </sheets>
  <calcPr calcId="144525"/>
</workbook>
</file>

<file path=xl/calcChain.xml><?xml version="1.0" encoding="utf-8"?>
<calcChain xmlns="http://schemas.openxmlformats.org/spreadsheetml/2006/main">
  <c r="F140" i="16" l="1"/>
  <c r="F139" i="16"/>
  <c r="F122" i="16"/>
  <c r="F105" i="16"/>
  <c r="F104" i="16"/>
  <c r="F87" i="16"/>
  <c r="F86" i="16"/>
  <c r="F83" i="16" l="1"/>
  <c r="F82" i="16"/>
  <c r="F148" i="15" l="1"/>
  <c r="H135" i="15" s="1"/>
  <c r="H154" i="15" s="1"/>
  <c r="H99" i="15"/>
  <c r="H66" i="15"/>
  <c r="H33" i="15"/>
  <c r="I66" i="15"/>
  <c r="H97" i="26"/>
  <c r="F78" i="26" l="1"/>
  <c r="H55" i="26" s="1"/>
  <c r="H128" i="26"/>
  <c r="H95" i="26"/>
  <c r="H24" i="26"/>
  <c r="F35" i="26"/>
  <c r="F34" i="26"/>
  <c r="F107" i="26"/>
  <c r="F105" i="26"/>
  <c r="F104" i="26"/>
  <c r="F95" i="26"/>
  <c r="F88" i="26"/>
  <c r="F87" i="26"/>
  <c r="F86" i="26"/>
  <c r="F83" i="26"/>
  <c r="F82" i="26"/>
  <c r="F76" i="26"/>
  <c r="F72" i="26"/>
  <c r="F70" i="26"/>
  <c r="F69" i="26"/>
  <c r="F60" i="26"/>
  <c r="F55" i="26"/>
  <c r="F53" i="26"/>
  <c r="F52" i="26"/>
  <c r="F51" i="26"/>
  <c r="F48" i="26"/>
  <c r="F47" i="26"/>
  <c r="F41" i="26"/>
  <c r="F37" i="26"/>
  <c r="F25" i="26"/>
  <c r="F20" i="26"/>
  <c r="F18" i="26"/>
  <c r="F17" i="26"/>
  <c r="F16" i="26"/>
  <c r="F13" i="26"/>
  <c r="F12" i="26"/>
  <c r="F43" i="15"/>
  <c r="F70" i="15"/>
  <c r="F69" i="15"/>
  <c r="F70" i="16"/>
  <c r="F69" i="16"/>
  <c r="F13" i="15"/>
  <c r="F12" i="15"/>
  <c r="F48" i="15"/>
  <c r="F47" i="15"/>
  <c r="K83" i="15"/>
  <c r="K82" i="15"/>
  <c r="F35" i="15"/>
  <c r="F34" i="15"/>
  <c r="F107" i="15"/>
  <c r="F105" i="15"/>
  <c r="F104" i="15"/>
  <c r="F95" i="15"/>
  <c r="F92" i="15"/>
  <c r="F90" i="15"/>
  <c r="F88" i="15"/>
  <c r="F87" i="15"/>
  <c r="F86" i="15"/>
  <c r="F41" i="15"/>
  <c r="F37" i="15"/>
  <c r="F25" i="15"/>
  <c r="F22" i="15"/>
  <c r="F20" i="15"/>
  <c r="F18" i="15"/>
  <c r="F17" i="15"/>
  <c r="F16" i="15"/>
  <c r="F151" i="26" l="1"/>
  <c r="F92" i="16"/>
  <c r="F90" i="16"/>
  <c r="F88" i="16"/>
  <c r="F72" i="16"/>
  <c r="F60" i="16"/>
  <c r="F56" i="16"/>
  <c r="F57" i="16"/>
  <c r="F55" i="16"/>
  <c r="F53" i="16"/>
  <c r="F52" i="16"/>
  <c r="F51" i="16"/>
  <c r="F48" i="16"/>
  <c r="F47" i="16"/>
  <c r="F226" i="25" l="1"/>
  <c r="H134" i="25"/>
  <c r="F146" i="25"/>
  <c r="F140" i="25"/>
  <c r="F139" i="25"/>
  <c r="F127" i="25"/>
  <c r="F123" i="25"/>
  <c r="F122" i="25"/>
  <c r="F121" i="25"/>
  <c r="F224" i="24"/>
  <c r="F146" i="24"/>
  <c r="F140" i="24"/>
  <c r="F139" i="24"/>
  <c r="F127" i="24"/>
  <c r="F123" i="24"/>
  <c r="F122" i="24"/>
  <c r="F121" i="24"/>
  <c r="G227" i="23"/>
  <c r="F146" i="23"/>
  <c r="F140" i="23"/>
  <c r="F139" i="23"/>
  <c r="F127" i="23"/>
  <c r="F123" i="23"/>
  <c r="F122" i="23"/>
  <c r="F121" i="23"/>
  <c r="F224" i="22"/>
  <c r="F146" i="22"/>
  <c r="F140" i="22"/>
  <c r="F139" i="22"/>
  <c r="F127" i="22"/>
  <c r="F123" i="22"/>
  <c r="F122" i="22"/>
  <c r="F121" i="22"/>
  <c r="F226" i="21"/>
  <c r="F146" i="21"/>
  <c r="F140" i="21"/>
  <c r="F139" i="21"/>
  <c r="F127" i="21"/>
  <c r="F123" i="21"/>
  <c r="F122" i="21"/>
  <c r="F121" i="21"/>
  <c r="G226" i="20"/>
  <c r="F146" i="20"/>
  <c r="F140" i="20"/>
  <c r="F139" i="20"/>
  <c r="F127" i="20"/>
  <c r="F123" i="20"/>
  <c r="F122" i="20"/>
  <c r="F121" i="20"/>
  <c r="F225" i="19"/>
  <c r="F146" i="19"/>
  <c r="F140" i="19"/>
  <c r="F139" i="19"/>
  <c r="F127" i="19"/>
  <c r="F123" i="19"/>
  <c r="F122" i="19"/>
  <c r="F121" i="19"/>
  <c r="F226" i="18"/>
  <c r="F146" i="18"/>
  <c r="F140" i="18"/>
  <c r="F139" i="18"/>
  <c r="F127" i="18"/>
  <c r="F123" i="18"/>
  <c r="F121" i="18"/>
  <c r="F146" i="17"/>
  <c r="H24" i="17"/>
  <c r="F227" i="17"/>
  <c r="H136" i="17"/>
  <c r="H227" i="17" s="1"/>
  <c r="F140" i="17"/>
  <c r="F139" i="17"/>
  <c r="F127" i="17"/>
  <c r="F123" i="17"/>
  <c r="F121" i="17"/>
  <c r="H226" i="13"/>
  <c r="F146" i="13"/>
  <c r="F140" i="13"/>
  <c r="F139" i="13"/>
  <c r="F127" i="13"/>
  <c r="F123" i="13"/>
  <c r="F121" i="13"/>
  <c r="H137" i="16" l="1"/>
  <c r="H94" i="16"/>
  <c r="H64" i="16"/>
  <c r="I16" i="16"/>
  <c r="H130" i="15" l="1"/>
  <c r="H98" i="15"/>
  <c r="H63" i="15"/>
  <c r="H32" i="15"/>
  <c r="H99" i="26"/>
  <c r="H152" i="26" l="1"/>
  <c r="K142" i="15"/>
  <c r="F154" i="15"/>
  <c r="H130" i="26"/>
  <c r="F397" i="14"/>
  <c r="F362" i="14"/>
  <c r="F327" i="14"/>
  <c r="F292" i="14"/>
  <c r="F188" i="14"/>
  <c r="F187" i="14"/>
  <c r="F118" i="14"/>
  <c r="F117" i="14"/>
  <c r="F83" i="14"/>
  <c r="F82" i="14"/>
  <c r="F48" i="14"/>
  <c r="F47" i="14"/>
  <c r="F222" i="14" l="1"/>
  <c r="K23" i="14"/>
  <c r="F87" i="25"/>
  <c r="F52" i="25"/>
  <c r="F17" i="25"/>
  <c r="F88" i="25"/>
  <c r="F86" i="25"/>
  <c r="F53" i="25"/>
  <c r="F18" i="25"/>
  <c r="F16" i="25"/>
  <c r="F83" i="25"/>
  <c r="F82" i="25"/>
  <c r="F48" i="25"/>
  <c r="F47" i="25"/>
  <c r="F13" i="25"/>
  <c r="F12" i="25"/>
  <c r="F86" i="24"/>
  <c r="F82" i="24"/>
  <c r="F87" i="24"/>
  <c r="F52" i="24"/>
  <c r="F17" i="24"/>
  <c r="F83" i="24"/>
  <c r="F48" i="24"/>
  <c r="F47" i="24"/>
  <c r="F13" i="24"/>
  <c r="F12" i="24"/>
  <c r="F87" i="23"/>
  <c r="F17" i="23"/>
  <c r="F51" i="23"/>
  <c r="F86" i="23"/>
  <c r="F16" i="23"/>
  <c r="F83" i="23"/>
  <c r="F82" i="23"/>
  <c r="F48" i="23"/>
  <c r="F47" i="23"/>
  <c r="F13" i="23"/>
  <c r="F12" i="23"/>
  <c r="F107" i="22"/>
  <c r="F72" i="22"/>
  <c r="F37" i="22"/>
  <c r="F18" i="22"/>
  <c r="F87" i="22"/>
  <c r="F86" i="22"/>
  <c r="F53" i="22"/>
  <c r="F51" i="22"/>
  <c r="F52" i="22"/>
  <c r="F16" i="22"/>
  <c r="F17" i="22"/>
  <c r="F43" i="22"/>
  <c r="F22" i="22"/>
  <c r="F83" i="22"/>
  <c r="F82" i="22"/>
  <c r="F48" i="22"/>
  <c r="F47" i="22"/>
  <c r="F13" i="22"/>
  <c r="F12" i="22"/>
  <c r="F76" i="21"/>
  <c r="F107" i="21"/>
  <c r="H194" i="21"/>
  <c r="F111" i="21"/>
  <c r="F88" i="21"/>
  <c r="F86" i="21"/>
  <c r="F87" i="21"/>
  <c r="F72" i="21"/>
  <c r="F57" i="21"/>
  <c r="F53" i="21"/>
  <c r="F51" i="21"/>
  <c r="F52" i="21"/>
  <c r="F37" i="21"/>
  <c r="F22" i="21"/>
  <c r="F18" i="21"/>
  <c r="F16" i="21"/>
  <c r="F17" i="21"/>
  <c r="F83" i="21"/>
  <c r="F82" i="21"/>
  <c r="F48" i="21"/>
  <c r="F47" i="21"/>
  <c r="F13" i="21"/>
  <c r="F12" i="21"/>
  <c r="H29" i="21" s="1"/>
  <c r="F17" i="20"/>
  <c r="F87" i="20"/>
  <c r="F52" i="20"/>
  <c r="H102" i="21" l="1"/>
  <c r="H103" i="21"/>
  <c r="H54" i="21"/>
  <c r="H10" i="25"/>
  <c r="H23" i="24"/>
  <c r="H16" i="23"/>
  <c r="H13" i="22"/>
  <c r="H18" i="22"/>
  <c r="H125" i="21"/>
  <c r="I15" i="21"/>
  <c r="I13" i="21"/>
  <c r="F110" i="20"/>
  <c r="F109" i="20"/>
  <c r="F88" i="20"/>
  <c r="F86" i="20"/>
  <c r="F72" i="20"/>
  <c r="F57" i="20"/>
  <c r="F53" i="20"/>
  <c r="F51" i="20"/>
  <c r="F41" i="20"/>
  <c r="F22" i="20"/>
  <c r="F40" i="20"/>
  <c r="F39" i="20"/>
  <c r="F37" i="20"/>
  <c r="F83" i="20"/>
  <c r="F82" i="20"/>
  <c r="F48" i="20"/>
  <c r="F47" i="20"/>
  <c r="F13" i="20"/>
  <c r="F12" i="20"/>
  <c r="F109" i="19"/>
  <c r="H20" i="20" l="1"/>
  <c r="F113" i="19"/>
  <c r="F111" i="19"/>
  <c r="F88" i="19"/>
  <c r="F87" i="19"/>
  <c r="F86" i="19"/>
  <c r="F51" i="19"/>
  <c r="F76" i="19"/>
  <c r="F75" i="19"/>
  <c r="F74" i="19"/>
  <c r="F72" i="19"/>
  <c r="F57" i="19"/>
  <c r="F53" i="19"/>
  <c r="F52" i="19"/>
  <c r="F41" i="19"/>
  <c r="F16" i="19"/>
  <c r="F40" i="19"/>
  <c r="F39" i="19"/>
  <c r="F37" i="19"/>
  <c r="F22" i="19"/>
  <c r="F18" i="19"/>
  <c r="F83" i="19"/>
  <c r="F82" i="19"/>
  <c r="F48" i="19"/>
  <c r="F47" i="19"/>
  <c r="F13" i="19"/>
  <c r="F12" i="19"/>
  <c r="J18" i="19" l="1"/>
  <c r="F109" i="18"/>
  <c r="F92" i="18"/>
  <c r="F74" i="18"/>
  <c r="F72" i="18"/>
  <c r="F51" i="18"/>
  <c r="F57" i="18"/>
  <c r="F88" i="18"/>
  <c r="F86" i="18"/>
  <c r="F43" i="18"/>
  <c r="F18" i="18"/>
  <c r="F16" i="18"/>
  <c r="F83" i="18"/>
  <c r="F82" i="18"/>
  <c r="F48" i="18"/>
  <c r="F47" i="18"/>
  <c r="F13" i="18"/>
  <c r="F12" i="18"/>
  <c r="J17" i="18" l="1"/>
  <c r="F109" i="17"/>
  <c r="F113" i="17"/>
  <c r="F110" i="17"/>
  <c r="F95" i="17"/>
  <c r="F86" i="17"/>
  <c r="F87" i="17"/>
  <c r="F52" i="17"/>
  <c r="F51" i="17"/>
  <c r="F57" i="17"/>
  <c r="F37" i="17"/>
  <c r="F17" i="17"/>
  <c r="F70" i="17"/>
  <c r="F69" i="17"/>
  <c r="F48" i="17"/>
  <c r="F47" i="17"/>
  <c r="F13" i="17"/>
  <c r="I15" i="17" s="1"/>
  <c r="F12" i="17"/>
  <c r="F72" i="13"/>
  <c r="F22" i="13"/>
  <c r="F107" i="13"/>
  <c r="F37" i="13"/>
  <c r="F86" i="13"/>
  <c r="F51" i="13"/>
  <c r="F16" i="13"/>
  <c r="F83" i="13"/>
  <c r="F82" i="13"/>
  <c r="H89" i="13" s="1"/>
  <c r="F48" i="13"/>
  <c r="F47" i="13"/>
  <c r="F13" i="13"/>
  <c r="F12" i="13"/>
  <c r="I17" i="17"/>
  <c r="I13" i="17" l="1"/>
  <c r="H58" i="13"/>
  <c r="H19" i="13"/>
  <c r="H127" i="24"/>
  <c r="H129" i="23"/>
  <c r="H128" i="22"/>
  <c r="H126" i="21"/>
  <c r="H120" i="20"/>
  <c r="J105" i="19"/>
  <c r="I56" i="19"/>
  <c r="H29" i="19"/>
  <c r="H126" i="19"/>
  <c r="N140" i="21" l="1"/>
  <c r="K140" i="20"/>
  <c r="L121" i="19"/>
  <c r="L176" i="19"/>
  <c r="H125" i="18"/>
  <c r="H123" i="17" l="1"/>
  <c r="H144" i="13"/>
  <c r="H159" i="19"/>
  <c r="H27" i="14" l="1"/>
  <c r="H32" i="16"/>
  <c r="H188" i="13"/>
  <c r="I161" i="16" l="1"/>
  <c r="F158" i="16"/>
  <c r="H88" i="16"/>
  <c r="F153" i="13" l="1"/>
  <c r="F152" i="13"/>
  <c r="K24" i="13" l="1"/>
  <c r="K25" i="13"/>
  <c r="I15" i="13"/>
  <c r="F211" i="25"/>
  <c r="F210" i="25"/>
  <c r="H197" i="25"/>
  <c r="H159" i="25"/>
  <c r="H105" i="25"/>
  <c r="H56" i="25"/>
  <c r="H29" i="25"/>
  <c r="F211" i="24"/>
  <c r="F210" i="24"/>
  <c r="H197" i="24"/>
  <c r="H159" i="24"/>
  <c r="H105" i="24"/>
  <c r="H56" i="24"/>
  <c r="H29" i="24"/>
  <c r="F211" i="23"/>
  <c r="F210" i="23"/>
  <c r="H197" i="23"/>
  <c r="H159" i="23"/>
  <c r="H105" i="23"/>
  <c r="H56" i="23"/>
  <c r="H29" i="23"/>
  <c r="F211" i="22"/>
  <c r="F210" i="22"/>
  <c r="H197" i="22"/>
  <c r="H159" i="22"/>
  <c r="H105" i="22"/>
  <c r="H56" i="22"/>
  <c r="H29" i="22"/>
  <c r="F174" i="21"/>
  <c r="H161" i="21" s="1"/>
  <c r="H56" i="21"/>
  <c r="F211" i="21"/>
  <c r="F210" i="21"/>
  <c r="H197" i="21"/>
  <c r="H105" i="21"/>
  <c r="F211" i="20"/>
  <c r="F210" i="20"/>
  <c r="H197" i="20"/>
  <c r="H159" i="20"/>
  <c r="H105" i="20"/>
  <c r="H56" i="20"/>
  <c r="H29" i="20"/>
  <c r="H56" i="19"/>
  <c r="F211" i="19"/>
  <c r="F210" i="19"/>
  <c r="H197" i="19"/>
  <c r="H105" i="19"/>
  <c r="F211" i="18"/>
  <c r="F210" i="18"/>
  <c r="H197" i="18"/>
  <c r="H159" i="18"/>
  <c r="H105" i="18"/>
  <c r="H56" i="18"/>
  <c r="H29" i="18"/>
  <c r="F211" i="17"/>
  <c r="F210" i="17"/>
  <c r="H197" i="17"/>
  <c r="H159" i="17"/>
  <c r="H105" i="17"/>
  <c r="F223" i="17" s="1"/>
  <c r="H56" i="17"/>
  <c r="H29" i="17"/>
  <c r="H197" i="13"/>
  <c r="H159" i="13"/>
  <c r="H105" i="13"/>
  <c r="H56" i="13"/>
  <c r="H159" i="21" l="1"/>
  <c r="H223" i="21" s="1"/>
  <c r="E226" i="13"/>
  <c r="H224" i="25"/>
  <c r="H225" i="24"/>
  <c r="F223" i="23"/>
  <c r="H225" i="22"/>
  <c r="I219" i="21"/>
  <c r="I223" i="21"/>
  <c r="H223" i="20"/>
  <c r="G225" i="19"/>
  <c r="H227" i="18"/>
  <c r="H223" i="18"/>
  <c r="H225" i="17"/>
  <c r="H29" i="13"/>
  <c r="H223" i="25"/>
  <c r="H223" i="24"/>
  <c r="H223" i="23"/>
  <c r="H223" i="22"/>
  <c r="H223" i="17"/>
  <c r="F257" i="14"/>
  <c r="F13" i="14"/>
  <c r="F12" i="14"/>
  <c r="H32" i="14" s="1"/>
  <c r="F153" i="14"/>
  <c r="F152" i="14"/>
  <c r="I278" i="14"/>
  <c r="I68" i="15"/>
  <c r="H165" i="14"/>
  <c r="H163" i="14"/>
  <c r="H17" i="14"/>
  <c r="F211" i="13"/>
  <c r="F210" i="13"/>
  <c r="H223" i="13" l="1"/>
  <c r="K267" i="14"/>
  <c r="K57" i="15"/>
  <c r="H14" i="14"/>
</calcChain>
</file>

<file path=xl/sharedStrings.xml><?xml version="1.0" encoding="utf-8"?>
<sst xmlns="http://schemas.openxmlformats.org/spreadsheetml/2006/main" count="4859" uniqueCount="104">
  <si>
    <t>Наименование муниципальной услуги</t>
  </si>
  <si>
    <t>Уникальный номер реестровой записи</t>
  </si>
  <si>
    <t>кВт час.</t>
  </si>
  <si>
    <t>Теплоэнергия</t>
  </si>
  <si>
    <t>Бумага писчая</t>
  </si>
  <si>
    <t>Гкал</t>
  </si>
  <si>
    <t xml:space="preserve">Электроэнергия </t>
  </si>
  <si>
    <t>Абонентская связь</t>
  </si>
  <si>
    <t>сумма в год</t>
  </si>
  <si>
    <t>Заправка картриджа и ремонт оргтехники</t>
  </si>
  <si>
    <t xml:space="preserve">Приложение № 1                             </t>
  </si>
  <si>
    <t>Наименование натуральной нормы</t>
  </si>
  <si>
    <t>Единица измерения натуральной нормы</t>
  </si>
  <si>
    <t>Единица измерения показателя объема оказания муниципальной услуги</t>
  </si>
  <si>
    <t>Значение натуральной нормы</t>
  </si>
  <si>
    <t>штатная численность</t>
  </si>
  <si>
    <t>договор</t>
  </si>
  <si>
    <t>пачки</t>
  </si>
  <si>
    <t>кол-во устройств, ед.</t>
  </si>
  <si>
    <t>Канцелярские принадлежности</t>
  </si>
  <si>
    <r>
      <t>м</t>
    </r>
    <r>
      <rPr>
        <vertAlign val="superscript"/>
        <sz val="10"/>
        <color indexed="8"/>
        <rFont val="Times New Roman"/>
        <family val="1"/>
        <charset val="204"/>
      </rPr>
      <t>2</t>
    </r>
  </si>
  <si>
    <t>Текущий ремонт помещения</t>
  </si>
  <si>
    <t>м2</t>
  </si>
  <si>
    <t>Обслуживание пожарной сигнализации</t>
  </si>
  <si>
    <t>Медицинский осмотр работников</t>
  </si>
  <si>
    <t>кол-во номеров, ед.</t>
  </si>
  <si>
    <t>Оплата труда</t>
  </si>
  <si>
    <t>Начисление на оплату труда 30,2%</t>
  </si>
  <si>
    <t>1. Натуральные нормы,  непосредственно связанные с оказанием муниципальной услуги</t>
  </si>
  <si>
    <t>1.1. Работники, непосредственно связанные с оказанием муниципальной услуги</t>
  </si>
  <si>
    <t>2. Натуральные нормы на общехозяйственные нужды</t>
  </si>
  <si>
    <t>2.1.Коммунальные услуги</t>
  </si>
  <si>
    <t>2.2.Содержание объектов недвижимого имущества, необходимого для выполнения муниципального задания</t>
  </si>
  <si>
    <t xml:space="preserve">2.4. Услуги связи </t>
  </si>
  <si>
    <t>2.3. Содержание объектов особо ценного движимого имущества,   необходимого для выполнения муниципального задания</t>
  </si>
  <si>
    <t>2.5.Работники, которые не принимают непосредственного участия в оказании муниципальной услуги</t>
  </si>
  <si>
    <t xml:space="preserve">2.6. Прочие общехозяйственные нужды </t>
  </si>
  <si>
    <t>Рабочее время</t>
  </si>
  <si>
    <t>часы</t>
  </si>
  <si>
    <t>Присмотр и уход</t>
  </si>
  <si>
    <t>Педагогичкский  работник</t>
  </si>
  <si>
    <t>Обслуживающий персонал</t>
  </si>
  <si>
    <t>водоснабжение</t>
  </si>
  <si>
    <t>дератизация</t>
  </si>
  <si>
    <t>утилизация отходов</t>
  </si>
  <si>
    <t>лабораторные исследования</t>
  </si>
  <si>
    <t xml:space="preserve">монтаж пуско-наладка и тестирование радиосистемы передачи извещений </t>
  </si>
  <si>
    <t xml:space="preserve">услуги по ценрализованному наблюдению за поступлением тревожных сообщений с объекта заказчика </t>
  </si>
  <si>
    <t>медикаменты, первязочные средства, витамины, мелкий медицинский инструментарий</t>
  </si>
  <si>
    <t>Расходы за проживание по командировкам и курсы повышения квалификации</t>
  </si>
  <si>
    <t>оплата за ремонт оборудования и инвентаря</t>
  </si>
  <si>
    <t>приобретение классных журналов с 1-4 классы</t>
  </si>
  <si>
    <t>приобретение классных журналов с 5-9классы</t>
  </si>
  <si>
    <t>приобретение классных журналов с 10-11классы</t>
  </si>
  <si>
    <t>приобретение классных журналов с 1-4классы</t>
  </si>
  <si>
    <t>Численность  (человек)</t>
  </si>
  <si>
    <t>Педагогический  работник</t>
  </si>
  <si>
    <t>значения натуральных норм, необходимых для определения базовых нормативов затрат на оказание муниципальных услуг муниципальными бюджетными образовательными учреждениями Назаровского района</t>
  </si>
  <si>
    <t>к приказу от 27. 12.2016  № 248</t>
  </si>
  <si>
    <t>МБДОУ Преображенский дс</t>
  </si>
  <si>
    <t>Реализация основных образовательных программ дошкольного  образования</t>
  </si>
  <si>
    <t>МБДОУ Красносопинский  дс</t>
  </si>
  <si>
    <t>Продукты питания</t>
  </si>
  <si>
    <t>МБДОУ Степновский дс  дс</t>
  </si>
  <si>
    <t>МБОУ Сохновская СОШ</t>
  </si>
  <si>
    <t>Реализация дополнительных  общеразвивающих программ</t>
  </si>
  <si>
    <t>МБОУ Гляденская СОШ</t>
  </si>
  <si>
    <t>МБОУ Дороховская  СОШ</t>
  </si>
  <si>
    <t>МБОУ Краснополянская   СОШ</t>
  </si>
  <si>
    <t>МБОУ Крутоярская   СОШ</t>
  </si>
  <si>
    <t>МБОУ Павловская  СОШ</t>
  </si>
  <si>
    <t>МБОУ Преображенская   СОШ</t>
  </si>
  <si>
    <t>МБОУ Подсосенская    СОШ</t>
  </si>
  <si>
    <t>МБОУ Сахаптинская    СОШ</t>
  </si>
  <si>
    <t>МБОУ Степновская  СОШ</t>
  </si>
  <si>
    <t>Реализация основных общеобразовательных программ начального общего образования  образования</t>
  </si>
  <si>
    <t xml:space="preserve">Реализация основных общеобразовательных программ основного общего образования  </t>
  </si>
  <si>
    <t>Реализация основных общеобразовательных программ среднего общего  образования</t>
  </si>
  <si>
    <t>Организация отдыха детей и молодежи</t>
  </si>
  <si>
    <t>801011О.99.0.БВ24ВТ22000</t>
  </si>
  <si>
    <t>801011О.99.0.БВ24ВУ42000</t>
  </si>
  <si>
    <t>853211О.99.0.БВ19АА50000</t>
  </si>
  <si>
    <t>853211О.99.0.БВ19АА56000</t>
  </si>
  <si>
    <t>801011О.99.0.БВ24АБ22000</t>
  </si>
  <si>
    <t>801011О.99.0.БВ24АВ42000</t>
  </si>
  <si>
    <t>801011О.99.0.БВ24АИ42000</t>
  </si>
  <si>
    <t>801011О.99.0.БВ24АК62000</t>
  </si>
  <si>
    <t>853211О.99.0.БВ19АА08000</t>
  </si>
  <si>
    <t>853211О.99.0.БВ19АА14000</t>
  </si>
  <si>
    <t>853211О.99.0.БВ19АА92000</t>
  </si>
  <si>
    <t>853211О.99.0.БВ19АА98000</t>
  </si>
  <si>
    <t>11787000301000201009101</t>
  </si>
  <si>
    <t>11791000100400101009101</t>
  </si>
  <si>
    <t>111794000301000101001101</t>
  </si>
  <si>
    <t xml:space="preserve">Предоставление питания </t>
  </si>
  <si>
    <t>11Д07000000000000005100</t>
  </si>
  <si>
    <t>11Г42001000300701007100</t>
  </si>
  <si>
    <t>10028000000000002005101</t>
  </si>
  <si>
    <t>046370000132019400511784000300300201007100101</t>
  </si>
  <si>
    <t>046370000132019400511784000300300301006100101</t>
  </si>
  <si>
    <t>046370000132019400511785001100300009000100101</t>
  </si>
  <si>
    <t>Предоставление питания</t>
  </si>
  <si>
    <t>046370000132019400511Д07000000000000005100101</t>
  </si>
  <si>
    <t>к приказу от 28. 12.2016  № 235/1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</si>
</sst>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readingOrder="1"/>
    </xf>
    <xf numFmtId="0" fontId="3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 vertical="center"/>
    </xf>
    <xf numFmtId="4" fontId="6" fillId="0" borderId="1" xfId="1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 wrapText="1"/>
    </xf>
    <xf numFmtId="4" fontId="0" fillId="0" borderId="0" xfId="0" applyNumberFormat="1"/>
    <xf numFmtId="0" fontId="9" fillId="0" borderId="0" xfId="0" applyFont="1" applyFill="1"/>
    <xf numFmtId="4" fontId="6" fillId="0" borderId="1" xfId="0" applyNumberFormat="1" applyFont="1" applyFill="1" applyBorder="1" applyAlignment="1">
      <alignment horizontal="center"/>
    </xf>
    <xf numFmtId="4" fontId="6" fillId="0" borderId="1" xfId="1" applyNumberFormat="1" applyFont="1" applyFill="1" applyBorder="1" applyAlignment="1">
      <alignment horizontal="center" vertical="center"/>
    </xf>
    <xf numFmtId="0" fontId="9" fillId="0" borderId="0" xfId="0" applyFont="1"/>
    <xf numFmtId="0" fontId="6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9" fillId="0" borderId="0" xfId="0" applyNumberFormat="1" applyFont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4" fontId="0" fillId="2" borderId="0" xfId="0" applyNumberFormat="1" applyFill="1"/>
    <xf numFmtId="4" fontId="11" fillId="2" borderId="0" xfId="0" applyNumberFormat="1" applyFont="1" applyFill="1"/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textRotation="90" wrapText="1"/>
    </xf>
    <xf numFmtId="49" fontId="3" fillId="0" borderId="7" xfId="0" applyNumberFormat="1" applyFont="1" applyFill="1" applyBorder="1" applyAlignment="1">
      <alignment horizontal="center" textRotation="90" wrapText="1"/>
    </xf>
    <xf numFmtId="49" fontId="3" fillId="0" borderId="5" xfId="0" applyNumberFormat="1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3" fillId="0" borderId="4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5" xfId="0" applyNumberFormat="1" applyFont="1" applyFill="1" applyBorder="1" applyAlignment="1">
      <alignment horizontal="center" vertical="center" textRotation="90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49" fontId="10" fillId="0" borderId="4" xfId="0" applyNumberFormat="1" applyFont="1" applyFill="1" applyBorder="1" applyAlignment="1">
      <alignment horizontal="center" vertical="center" textRotation="90" wrapText="1"/>
    </xf>
    <xf numFmtId="49" fontId="10" fillId="0" borderId="7" xfId="0" applyNumberFormat="1" applyFont="1" applyFill="1" applyBorder="1" applyAlignment="1">
      <alignment horizontal="center" vertical="center" textRotation="90" wrapText="1"/>
    </xf>
    <xf numFmtId="49" fontId="10" fillId="0" borderId="5" xfId="0" applyNumberFormat="1" applyFont="1" applyFill="1" applyBorder="1" applyAlignment="1">
      <alignment horizontal="center" vertical="center" textRotation="90" wrapText="1"/>
    </xf>
    <xf numFmtId="49" fontId="10" fillId="0" borderId="4" xfId="0" applyNumberFormat="1" applyFont="1" applyFill="1" applyBorder="1" applyAlignment="1">
      <alignment horizontal="center" textRotation="90" wrapText="1"/>
    </xf>
    <xf numFmtId="49" fontId="10" fillId="0" borderId="7" xfId="0" applyNumberFormat="1" applyFont="1" applyFill="1" applyBorder="1" applyAlignment="1">
      <alignment horizontal="center" textRotation="90" wrapText="1"/>
    </xf>
    <xf numFmtId="49" fontId="10" fillId="0" borderId="5" xfId="0" applyNumberFormat="1" applyFont="1" applyFill="1" applyBorder="1" applyAlignment="1">
      <alignment horizontal="center" textRotation="90" wrapText="1"/>
    </xf>
    <xf numFmtId="0" fontId="0" fillId="0" borderId="4" xfId="0" applyFont="1" applyFill="1" applyBorder="1" applyAlignment="1">
      <alignment horizontal="left" vertical="top" textRotation="180" wrapText="1"/>
    </xf>
    <xf numFmtId="0" fontId="0" fillId="0" borderId="7" xfId="0" applyFont="1" applyFill="1" applyBorder="1" applyAlignment="1">
      <alignment horizontal="left" vertical="top" textRotation="180" wrapText="1"/>
    </xf>
    <xf numFmtId="0" fontId="0" fillId="0" borderId="5" xfId="0" applyFont="1" applyFill="1" applyBorder="1" applyAlignment="1">
      <alignment horizontal="left" vertical="top" textRotation="180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'Степновский дс 2'!$F$5:$F$7</c:f>
              <c:strCache>
                <c:ptCount val="1"/>
                <c:pt idx="0">
                  <c:v>значения натуральных норм, необходимых для определения базовых нормативов затрат на оказание муниципальных услуг муниципальными бюджетными образовательными учреждениями Назаровского района МБДОУ Степновский дс  дс Значение натуральной нормы</c:v>
                </c:pt>
              </c:strCache>
            </c:strRef>
          </c:tx>
          <c:invertIfNegative val="0"/>
          <c:cat>
            <c:multiLvlStrRef>
              <c:f>'Степновский дс 2'!$A$8:$E$148</c:f>
              <c:multiLvlStrCache>
                <c:ptCount val="141"/>
                <c:lvl>
                  <c:pt idx="0">
                    <c:v>5</c:v>
                  </c:pt>
                  <c:pt idx="3">
                    <c:v>штатная численность</c:v>
                  </c:pt>
                  <c:pt idx="4">
                    <c:v>сумма в год</c:v>
                  </c:pt>
                  <c:pt idx="5">
                    <c:v>сумма в год</c:v>
                  </c:pt>
                  <c:pt idx="8">
                    <c:v>кВт час.</c:v>
                  </c:pt>
                  <c:pt idx="9">
                    <c:v>Гкал</c:v>
                  </c:pt>
                  <c:pt idx="10">
                    <c:v>м2</c:v>
                  </c:pt>
                  <c:pt idx="14">
                    <c:v>м2</c:v>
                  </c:pt>
                  <c:pt idx="15">
                    <c:v>договор</c:v>
                  </c:pt>
                  <c:pt idx="16">
                    <c:v>договор</c:v>
                  </c:pt>
                  <c:pt idx="17">
                    <c:v>договор</c:v>
                  </c:pt>
                  <c:pt idx="18">
                    <c:v>договор</c:v>
                  </c:pt>
                  <c:pt idx="19">
                    <c:v>договор</c:v>
                  </c:pt>
                  <c:pt idx="21">
                    <c:v>кол-во устройств, ед.</c:v>
                  </c:pt>
                  <c:pt idx="23">
                    <c:v>кол-во номеров, ед.</c:v>
                  </c:pt>
                  <c:pt idx="25">
                    <c:v>штатная численность</c:v>
                  </c:pt>
                  <c:pt idx="26">
                    <c:v>сумма в год</c:v>
                  </c:pt>
                  <c:pt idx="27">
                    <c:v>сумма в год</c:v>
                  </c:pt>
                  <c:pt idx="29">
                    <c:v>сумма в год</c:v>
                  </c:pt>
                  <c:pt idx="33">
                    <c:v>пачки</c:v>
                  </c:pt>
                  <c:pt idx="34">
                    <c:v>сумма в год</c:v>
                  </c:pt>
                  <c:pt idx="35">
                    <c:v>сумма в год</c:v>
                  </c:pt>
                  <c:pt idx="38">
                    <c:v>штатная численность</c:v>
                  </c:pt>
                  <c:pt idx="39">
                    <c:v>сумма в год</c:v>
                  </c:pt>
                  <c:pt idx="40">
                    <c:v>сумма в год</c:v>
                  </c:pt>
                  <c:pt idx="43">
                    <c:v>кВт час.</c:v>
                  </c:pt>
                  <c:pt idx="44">
                    <c:v>Гкал</c:v>
                  </c:pt>
                  <c:pt idx="45">
                    <c:v>м2</c:v>
                  </c:pt>
                  <c:pt idx="49">
                    <c:v>м2</c:v>
                  </c:pt>
                  <c:pt idx="50">
                    <c:v>договор</c:v>
                  </c:pt>
                  <c:pt idx="51">
                    <c:v>договор</c:v>
                  </c:pt>
                  <c:pt idx="52">
                    <c:v>договор</c:v>
                  </c:pt>
                  <c:pt idx="53">
                    <c:v>договор</c:v>
                  </c:pt>
                  <c:pt idx="54">
                    <c:v>договор</c:v>
                  </c:pt>
                  <c:pt idx="56">
                    <c:v>кол-во устройств, ед.</c:v>
                  </c:pt>
                  <c:pt idx="58">
                    <c:v>кол-во номеров, ед.</c:v>
                  </c:pt>
                  <c:pt idx="60">
                    <c:v>штатная численность</c:v>
                  </c:pt>
                  <c:pt idx="61">
                    <c:v>сумма в год</c:v>
                  </c:pt>
                  <c:pt idx="62">
                    <c:v>сумма в год</c:v>
                  </c:pt>
                  <c:pt idx="64">
                    <c:v>сумма в год</c:v>
                  </c:pt>
                  <c:pt idx="68">
                    <c:v>пачки</c:v>
                  </c:pt>
                  <c:pt idx="69">
                    <c:v>сумма в год</c:v>
                  </c:pt>
                  <c:pt idx="70">
                    <c:v>сумма в год</c:v>
                  </c:pt>
                  <c:pt idx="73">
                    <c:v>штатная численность</c:v>
                  </c:pt>
                  <c:pt idx="74">
                    <c:v>сумма в год</c:v>
                  </c:pt>
                  <c:pt idx="75">
                    <c:v>сумма в год</c:v>
                  </c:pt>
                  <c:pt idx="78">
                    <c:v>кВт час.</c:v>
                  </c:pt>
                  <c:pt idx="79">
                    <c:v>Гкал</c:v>
                  </c:pt>
                  <c:pt idx="80">
                    <c:v>м2</c:v>
                  </c:pt>
                  <c:pt idx="84">
                    <c:v>м2</c:v>
                  </c:pt>
                  <c:pt idx="85">
                    <c:v>договор</c:v>
                  </c:pt>
                  <c:pt idx="91">
                    <c:v>кол-во устройств, ед.</c:v>
                  </c:pt>
                  <c:pt idx="93">
                    <c:v>кол-во номеров, ед.</c:v>
                  </c:pt>
                  <c:pt idx="95">
                    <c:v>штатная численность</c:v>
                  </c:pt>
                  <c:pt idx="96">
                    <c:v>сумма в год</c:v>
                  </c:pt>
                  <c:pt idx="97">
                    <c:v>сумма в год</c:v>
                  </c:pt>
                  <c:pt idx="99">
                    <c:v>сумма в год</c:v>
                  </c:pt>
                  <c:pt idx="103">
                    <c:v>сумма в год</c:v>
                  </c:pt>
                  <c:pt idx="104">
                    <c:v>сумма в год</c:v>
                  </c:pt>
                  <c:pt idx="105">
                    <c:v>сумма в год</c:v>
                  </c:pt>
                  <c:pt idx="108">
                    <c:v>штатная численность</c:v>
                  </c:pt>
                  <c:pt idx="109">
                    <c:v>сумма в год</c:v>
                  </c:pt>
                  <c:pt idx="110">
                    <c:v>сумма в год</c:v>
                  </c:pt>
                  <c:pt idx="113">
                    <c:v>кВт час.</c:v>
                  </c:pt>
                  <c:pt idx="114">
                    <c:v>Гкал</c:v>
                  </c:pt>
                  <c:pt idx="115">
                    <c:v>м2</c:v>
                  </c:pt>
                  <c:pt idx="119">
                    <c:v>м2</c:v>
                  </c:pt>
                  <c:pt idx="120">
                    <c:v>договор</c:v>
                  </c:pt>
                  <c:pt idx="126">
                    <c:v>кол-во устройств, ед.</c:v>
                  </c:pt>
                  <c:pt idx="128">
                    <c:v>кол-во номеров, ед.</c:v>
                  </c:pt>
                  <c:pt idx="130">
                    <c:v>штатная численность</c:v>
                  </c:pt>
                  <c:pt idx="131">
                    <c:v>сумма в год</c:v>
                  </c:pt>
                  <c:pt idx="132">
                    <c:v>сумма в год</c:v>
                  </c:pt>
                  <c:pt idx="134">
                    <c:v>сумма в год</c:v>
                  </c:pt>
                  <c:pt idx="138">
                    <c:v>сумма в год</c:v>
                  </c:pt>
                  <c:pt idx="139">
                    <c:v>сумма в год</c:v>
                  </c:pt>
                  <c:pt idx="140">
                    <c:v>сумма в год</c:v>
                  </c:pt>
                </c:lvl>
                <c:lvl>
                  <c:pt idx="0">
                    <c:v>4</c:v>
                  </c:pt>
                  <c:pt idx="1">
                    <c:v>1. Натуральные нормы,  непосредственно связанные с оказанием муниципальной услуги</c:v>
                  </c:pt>
                  <c:pt idx="2">
                    <c:v>1.1. Работники, непосредственно связанные с оказанием муниципальной услуги</c:v>
                  </c:pt>
                  <c:pt idx="3">
                    <c:v>Педагогический  работник</c:v>
                  </c:pt>
                  <c:pt idx="4">
                    <c:v>Оплата труда</c:v>
                  </c:pt>
                  <c:pt idx="5">
                    <c:v>Начисление на оплату труда 30,2%</c:v>
                  </c:pt>
                  <c:pt idx="6">
                    <c:v>2. Натуральные нормы на общехозяйственные нужды</c:v>
                  </c:pt>
                  <c:pt idx="7">
                    <c:v>2.1.Коммунальные услуги</c:v>
                  </c:pt>
                  <c:pt idx="8">
                    <c:v>Электроэнергия </c:v>
                  </c:pt>
                  <c:pt idx="9">
                    <c:v>Теплоэнергия</c:v>
                  </c:pt>
                  <c:pt idx="10">
                    <c:v>водоснабжение</c:v>
                  </c:pt>
                  <c:pt idx="11">
                    <c:v>2.2.Содержание объектов недвижимого имущества, необходимого для выполнения муниципального задания</c:v>
                  </c:pt>
                  <c:pt idx="12">
                    <c:v>дератизация</c:v>
                  </c:pt>
                  <c:pt idx="13">
                    <c:v>утилизация отходов</c:v>
                  </c:pt>
                  <c:pt idx="14">
                    <c:v>Текущий ремонт помещения</c:v>
                  </c:pt>
                  <c:pt idx="15">
                    <c:v>Обслуживание пожарной сигнализации</c:v>
                  </c:pt>
                  <c:pt idx="16">
                    <c:v>услуги по ценрализованному наблюдению за поступлением тревожных сообщений с объекта заказчика </c:v>
                  </c:pt>
                  <c:pt idx="17">
                    <c:v>Медицинский осмотр работников</c:v>
                  </c:pt>
                  <c:pt idx="18">
                    <c:v>лабораторные исследования</c:v>
                  </c:pt>
                  <c:pt idx="19">
                    <c:v>монтаж пуско-наладка и тестирование радиосистемы передачи извещений </c:v>
                  </c:pt>
                  <c:pt idx="20">
                    <c:v>2.3. Содержание объектов особо ценного движимого имущества,   необходимого для выполнения муниципального задания</c:v>
                  </c:pt>
                  <c:pt idx="21">
                    <c:v>Заправка картриджа и ремонт оргтехники</c:v>
                  </c:pt>
                  <c:pt idx="22">
                    <c:v>2.4. Услуги связи </c:v>
                  </c:pt>
                  <c:pt idx="23">
                    <c:v>Абонентская связь</c:v>
                  </c:pt>
                  <c:pt idx="24">
                    <c:v>2.5.Работники, которые не принимают непосредственного участия в оказании муниципальной услуги</c:v>
                  </c:pt>
                  <c:pt idx="25">
                    <c:v>Обслуживающий персонал</c:v>
                  </c:pt>
                  <c:pt idx="26">
                    <c:v>Оплата труда</c:v>
                  </c:pt>
                  <c:pt idx="27">
                    <c:v>Начисление на оплату труда 30,2%</c:v>
                  </c:pt>
                  <c:pt idx="28">
                    <c:v>2.6. Прочие общехозяйственные нужды </c:v>
                  </c:pt>
                  <c:pt idx="29">
                    <c:v>Канцелярские принадлежности</c:v>
                  </c:pt>
                  <c:pt idx="30">
                    <c:v>оплата за ремонт оборудования и инвентаря</c:v>
                  </c:pt>
                  <c:pt idx="31">
                    <c:v>приобретение классных журналов с 1-4 классы</c:v>
                  </c:pt>
                  <c:pt idx="32">
                    <c:v>медикаменты, первязочные средства, витамины, мелкий медицинский инструментарий</c:v>
                  </c:pt>
                  <c:pt idx="33">
                    <c:v>Бумага писчая</c:v>
                  </c:pt>
                  <c:pt idx="34">
                    <c:v>Расходы за проживание по командировкам и курсы повышения квалификации</c:v>
                  </c:pt>
                  <c:pt idx="35">
                    <c:v>Продукты питания</c:v>
                  </c:pt>
                  <c:pt idx="36">
                    <c:v>1. Натуральные нормы,  непосредственно связанные с оказанием муниципальной услуги</c:v>
                  </c:pt>
                  <c:pt idx="37">
                    <c:v>1.1. Работники, непосредственно связанные с оказанием муниципальной услуги</c:v>
                  </c:pt>
                  <c:pt idx="38">
                    <c:v>Педагогический  работник</c:v>
                  </c:pt>
                  <c:pt idx="39">
                    <c:v>Оплата труда</c:v>
                  </c:pt>
                  <c:pt idx="40">
                    <c:v>Начисление на оплату труда 30,2%</c:v>
                  </c:pt>
                  <c:pt idx="41">
                    <c:v>2. Натуральные нормы на общехозяйственные нужды</c:v>
                  </c:pt>
                  <c:pt idx="42">
                    <c:v>2.1.Коммунальные услуги</c:v>
                  </c:pt>
                  <c:pt idx="43">
                    <c:v>Электроэнергия </c:v>
                  </c:pt>
                  <c:pt idx="44">
                    <c:v>Теплоэнергия</c:v>
                  </c:pt>
                  <c:pt idx="45">
                    <c:v>водоснабжение</c:v>
                  </c:pt>
                  <c:pt idx="46">
                    <c:v>2.2.Содержание объектов недвижимого имущества, необходимого для выполнения муниципального задания</c:v>
                  </c:pt>
                  <c:pt idx="47">
                    <c:v>дератизация</c:v>
                  </c:pt>
                  <c:pt idx="48">
                    <c:v>утилизация отходов</c:v>
                  </c:pt>
                  <c:pt idx="49">
                    <c:v>Текущий ремонт помещения</c:v>
                  </c:pt>
                  <c:pt idx="50">
                    <c:v>Обслуживание пожарной сигнализации</c:v>
                  </c:pt>
                  <c:pt idx="51">
                    <c:v>услуги по ценрализованному наблюдению за поступлением тревожных сообщений с объекта заказчика </c:v>
                  </c:pt>
                  <c:pt idx="52">
                    <c:v>Медицинский осмотр работников</c:v>
                  </c:pt>
                  <c:pt idx="53">
                    <c:v>лабораторные исследования</c:v>
                  </c:pt>
                  <c:pt idx="54">
                    <c:v>монтаж пуско-наладка и тестирование радиосистемы передачи извещений </c:v>
                  </c:pt>
                  <c:pt idx="55">
                    <c:v>2.3. Содержание объектов особо ценного движимого имущества,   необходимого для выполнения муниципального задания</c:v>
                  </c:pt>
                  <c:pt idx="56">
                    <c:v>Заправка картриджа и ремонт оргтехники</c:v>
                  </c:pt>
                  <c:pt idx="57">
                    <c:v>2.4. Услуги связи </c:v>
                  </c:pt>
                  <c:pt idx="58">
                    <c:v>Абонентская связь</c:v>
                  </c:pt>
                  <c:pt idx="59">
                    <c:v>2.5.Работники, которые не принимают непосредственного участия в оказании муниципальной услуги</c:v>
                  </c:pt>
                  <c:pt idx="60">
                    <c:v>Обслуживающий персонал</c:v>
                  </c:pt>
                  <c:pt idx="61">
                    <c:v>Оплата труда</c:v>
                  </c:pt>
                  <c:pt idx="62">
                    <c:v>Начисление на оплату труда 30,2%</c:v>
                  </c:pt>
                  <c:pt idx="63">
                    <c:v>2.6. Прочие общехозяйственные нужды </c:v>
                  </c:pt>
                  <c:pt idx="64">
                    <c:v>Канцелярские принадлежности</c:v>
                  </c:pt>
                  <c:pt idx="65">
                    <c:v>оплата за ремонт оборудования и инвентаря</c:v>
                  </c:pt>
                  <c:pt idx="66">
                    <c:v>приобретение классных журналов с 1-4 классы</c:v>
                  </c:pt>
                  <c:pt idx="67">
                    <c:v>медикаменты, первязочные средства, витамины, мелкий медицинский инструментарий</c:v>
                  </c:pt>
                  <c:pt idx="68">
                    <c:v>Бумага писчая</c:v>
                  </c:pt>
                  <c:pt idx="69">
                    <c:v>Расходы за проживание по командировкам и курсы повышения квалификации</c:v>
                  </c:pt>
                  <c:pt idx="70">
                    <c:v>Продукты питания</c:v>
                  </c:pt>
                  <c:pt idx="71">
                    <c:v>1. Натуральные нормы,  непосредственно связанные с оказанием муниципальной услуги</c:v>
                  </c:pt>
                  <c:pt idx="72">
                    <c:v>1.1. Работники, непосредственно связанные с оказанием муниципальной услуги</c:v>
                  </c:pt>
                  <c:pt idx="73">
                    <c:v>Педагогичкский  работник</c:v>
                  </c:pt>
                  <c:pt idx="74">
                    <c:v>Оплата труда</c:v>
                  </c:pt>
                  <c:pt idx="75">
                    <c:v>Начисление на оплату труда 30,2%</c:v>
                  </c:pt>
                  <c:pt idx="76">
                    <c:v>2. Натуральные нормы на общехозяйственные нужды</c:v>
                  </c:pt>
                  <c:pt idx="77">
                    <c:v>2.1.Коммунальные услуги</c:v>
                  </c:pt>
                  <c:pt idx="78">
                    <c:v>Электроэнергия </c:v>
                  </c:pt>
                  <c:pt idx="79">
                    <c:v>Теплоэнергия</c:v>
                  </c:pt>
                  <c:pt idx="80">
                    <c:v>водоснабжение</c:v>
                  </c:pt>
                  <c:pt idx="81">
                    <c:v>2.2.Содержание объектов недвижимого имущества, необходимого для выполнения муниципального задания</c:v>
                  </c:pt>
                  <c:pt idx="82">
                    <c:v>дератизация</c:v>
                  </c:pt>
                  <c:pt idx="83">
                    <c:v>утилизация отходов</c:v>
                  </c:pt>
                  <c:pt idx="84">
                    <c:v>Текущий ремонт помещения</c:v>
                  </c:pt>
                  <c:pt idx="85">
                    <c:v>Обслуживание пожарной сигнализации</c:v>
                  </c:pt>
                  <c:pt idx="86">
                    <c:v>услуги по ценрализованному наблюдению за поступлением тревожных сообщений с объекта заказчика </c:v>
                  </c:pt>
                  <c:pt idx="87">
                    <c:v>Медицинский осмотр работников</c:v>
                  </c:pt>
                  <c:pt idx="88">
                    <c:v>лабораторные исследования</c:v>
                  </c:pt>
                  <c:pt idx="89">
                    <c:v>монтаж пуско-наладка и тестирование радиосистемы передачи извещений </c:v>
                  </c:pt>
                  <c:pt idx="90">
                    <c:v>2.3. Содержание объектов особо ценного движимого имущества,   необходимого для выполнения муниципального задания</c:v>
                  </c:pt>
                  <c:pt idx="91">
                    <c:v>Заправка картриджа и ремонт оргтехники</c:v>
                  </c:pt>
                  <c:pt idx="92">
                    <c:v>2.4. Услуги связи </c:v>
                  </c:pt>
                  <c:pt idx="93">
                    <c:v>Абонентская связь</c:v>
                  </c:pt>
                  <c:pt idx="94">
                    <c:v>2.5.Работники, которые не принимают непосредственного участия в оказании муниципальной услуги</c:v>
                  </c:pt>
                  <c:pt idx="95">
                    <c:v>Обслуживающий персонал</c:v>
                  </c:pt>
                  <c:pt idx="96">
                    <c:v>Оплата труда</c:v>
                  </c:pt>
                  <c:pt idx="97">
                    <c:v>Начисление на оплату труда 30,2%</c:v>
                  </c:pt>
                  <c:pt idx="98">
                    <c:v>2.6. Прочие общехозяйственные нужды </c:v>
                  </c:pt>
                  <c:pt idx="99">
                    <c:v>Канцелярские принадлежности</c:v>
                  </c:pt>
                  <c:pt idx="100">
                    <c:v>оплата за ремонт оборудования и инвентаря</c:v>
                  </c:pt>
                  <c:pt idx="101">
                    <c:v>приобретение классных журналов с 5-9классы</c:v>
                  </c:pt>
                  <c:pt idx="102">
                    <c:v>медикаменты, первязочные средства, витамины, мелкий медицинский инструментарий</c:v>
                  </c:pt>
                  <c:pt idx="103">
                    <c:v>Продукты питания</c:v>
                  </c:pt>
                  <c:pt idx="104">
                    <c:v>Расходы за проживание по командировкам и курсы повышения квалификации</c:v>
                  </c:pt>
                  <c:pt idx="105">
                    <c:v>Продукты питания</c:v>
                  </c:pt>
                  <c:pt idx="106">
                    <c:v>1. Натуральные нормы,  непосредственно связанные с оказанием муниципальной услуги</c:v>
                  </c:pt>
                  <c:pt idx="107">
                    <c:v>1.1. Работники, непосредственно связанные с оказанием муниципальной услуги</c:v>
                  </c:pt>
                  <c:pt idx="108">
                    <c:v>Педагогичкский  работник</c:v>
                  </c:pt>
                  <c:pt idx="109">
                    <c:v>Оплата труда</c:v>
                  </c:pt>
                  <c:pt idx="110">
                    <c:v>Начисление на оплату труда 30,2%</c:v>
                  </c:pt>
                  <c:pt idx="111">
                    <c:v>2. Натуральные нормы на общехозяйственные нужды</c:v>
                  </c:pt>
                  <c:pt idx="112">
                    <c:v>2.1.Коммунальные услуги</c:v>
                  </c:pt>
                  <c:pt idx="113">
                    <c:v>Электроэнергия </c:v>
                  </c:pt>
                  <c:pt idx="114">
                    <c:v>Теплоэнергия</c:v>
                  </c:pt>
                  <c:pt idx="115">
                    <c:v>водоснабжение</c:v>
                  </c:pt>
                  <c:pt idx="116">
                    <c:v>2.2.Содержание объектов недвижимого имущества, необходимого для выполнения муниципального задания</c:v>
                  </c:pt>
                  <c:pt idx="117">
                    <c:v>дератизация</c:v>
                  </c:pt>
                  <c:pt idx="118">
                    <c:v>утилизация отходов</c:v>
                  </c:pt>
                  <c:pt idx="119">
                    <c:v>Текущий ремонт помещения</c:v>
                  </c:pt>
                  <c:pt idx="120">
                    <c:v>Обслуживание пожарной сигнализации</c:v>
                  </c:pt>
                  <c:pt idx="121">
                    <c:v>услуги по ценрализованному наблюдению за поступлением тревожных сообщений с объекта заказчика </c:v>
                  </c:pt>
                  <c:pt idx="122">
                    <c:v>Медицинский осмотр работников</c:v>
                  </c:pt>
                  <c:pt idx="123">
                    <c:v>лабораторные исследования</c:v>
                  </c:pt>
                  <c:pt idx="124">
                    <c:v>монтаж пуско-наладка и тестирование радиосистемы передачи извещений </c:v>
                  </c:pt>
                  <c:pt idx="125">
                    <c:v>2.3. Содержание объектов особо ценного движимого имущества,   необходимого для выполнения муниципального задания</c:v>
                  </c:pt>
                  <c:pt idx="126">
                    <c:v>Заправка картриджа и ремонт оргтехники</c:v>
                  </c:pt>
                  <c:pt idx="127">
                    <c:v>2.4. Услуги связи </c:v>
                  </c:pt>
                  <c:pt idx="128">
                    <c:v>Абонентская связь</c:v>
                  </c:pt>
                  <c:pt idx="129">
                    <c:v>2.5.Работники, которые не принимают непосредственного участия в оказании муниципальной услуги</c:v>
                  </c:pt>
                  <c:pt idx="130">
                    <c:v>Обслуживающий персонал</c:v>
                  </c:pt>
                  <c:pt idx="131">
                    <c:v>Оплата труда</c:v>
                  </c:pt>
                  <c:pt idx="132">
                    <c:v>Начисление на оплату труда 30,2%</c:v>
                  </c:pt>
                  <c:pt idx="133">
                    <c:v>2.6. Прочие общехозяйственные нужды </c:v>
                  </c:pt>
                  <c:pt idx="134">
                    <c:v>Канцелярские принадлежности</c:v>
                  </c:pt>
                  <c:pt idx="135">
                    <c:v>оплата за ремонт оборудования и инвентаря</c:v>
                  </c:pt>
                  <c:pt idx="136">
                    <c:v>приобретение классных журналов с 5-9классы</c:v>
                  </c:pt>
                  <c:pt idx="137">
                    <c:v>медикаменты, первязочные средства, витамины, мелкий медицинский инструментарий</c:v>
                  </c:pt>
                  <c:pt idx="138">
                    <c:v>Продукты питания</c:v>
                  </c:pt>
                  <c:pt idx="139">
                    <c:v>Расходы за проживание по командировкам и курсы повышения квалификации</c:v>
                  </c:pt>
                  <c:pt idx="140">
                    <c:v>Медицинский осмотр работников</c:v>
                  </c:pt>
                </c:lvl>
                <c:lvl>
                  <c:pt idx="0">
                    <c:v>3</c:v>
                  </c:pt>
                  <c:pt idx="1">
                    <c:v>Численность  (человек)</c:v>
                  </c:pt>
                  <c:pt idx="36">
                    <c:v>Численность  (человек)</c:v>
                  </c:pt>
                  <c:pt idx="71">
                    <c:v>Численность  (человек)</c:v>
                  </c:pt>
                  <c:pt idx="106">
                    <c:v>Численность  (человек)</c:v>
                  </c:pt>
                </c:lvl>
                <c:lvl>
                  <c:pt idx="0">
                    <c:v>2</c:v>
                  </c:pt>
                  <c:pt idx="1">
                    <c:v>046370000132019400511784000300300201007100101</c:v>
                  </c:pt>
                  <c:pt idx="36">
                    <c:v>046370000132019400511784000300300301006100101</c:v>
                  </c:pt>
                  <c:pt idx="71">
                    <c:v>046370000132019400511785001100300009000100101</c:v>
                  </c:pt>
                  <c:pt idx="106">
                    <c:v>046370000132019400511Д07000000000000005100101</c:v>
                  </c:pt>
                </c:lvl>
                <c:lvl>
                  <c:pt idx="0">
                    <c:v>1</c:v>
                  </c:pt>
                  <c:pt idx="1">
                    <c:v>Реализация основных образовательных программ дошкольного  образования</c:v>
                  </c:pt>
                  <c:pt idx="36">
                    <c:v>Реализация основных образовательных программ дошкольного  образования</c:v>
                  </c:pt>
                  <c:pt idx="71">
                    <c:v>Присмотр и уход</c:v>
                  </c:pt>
                  <c:pt idx="106">
                    <c:v>Предоставление питания</c:v>
                  </c:pt>
                </c:lvl>
              </c:multiLvlStrCache>
            </c:multiLvlStrRef>
          </c:cat>
          <c:val>
            <c:numRef>
              <c:f>'Степновский дс 2'!$F$8:$F$148</c:f>
              <c:numCache>
                <c:formatCode>General</c:formatCode>
                <c:ptCount val="141"/>
                <c:pt idx="0">
                  <c:v>6</c:v>
                </c:pt>
                <c:pt idx="3">
                  <c:v>92.56</c:v>
                </c:pt>
                <c:pt idx="4" formatCode="#,##0.00">
                  <c:v>1235972</c:v>
                </c:pt>
                <c:pt idx="5" formatCode="#,##0.00">
                  <c:v>373263</c:v>
                </c:pt>
                <c:pt idx="8">
                  <c:v>180159</c:v>
                </c:pt>
                <c:pt idx="9">
                  <c:v>1081754</c:v>
                </c:pt>
                <c:pt idx="10">
                  <c:v>90079</c:v>
                </c:pt>
                <c:pt idx="12">
                  <c:v>15000</c:v>
                </c:pt>
                <c:pt idx="14">
                  <c:v>25000</c:v>
                </c:pt>
                <c:pt idx="17">
                  <c:v>55567</c:v>
                </c:pt>
                <c:pt idx="21">
                  <c:v>9</c:v>
                </c:pt>
                <c:pt idx="23">
                  <c:v>5</c:v>
                </c:pt>
                <c:pt idx="25" formatCode="0">
                  <c:v>46.6</c:v>
                </c:pt>
                <c:pt idx="26" formatCode="#,##0.00">
                  <c:v>746915</c:v>
                </c:pt>
                <c:pt idx="27" formatCode="#,##0.00">
                  <c:v>225569</c:v>
                </c:pt>
                <c:pt idx="29" formatCode="#,##0.00">
                  <c:v>28866</c:v>
                </c:pt>
                <c:pt idx="35" formatCode="#,##0.00">
                  <c:v>985091</c:v>
                </c:pt>
                <c:pt idx="38">
                  <c:v>92.56</c:v>
                </c:pt>
                <c:pt idx="39" formatCode="#,##0.00">
                  <c:v>5563878</c:v>
                </c:pt>
                <c:pt idx="40" formatCode="#,##0.00">
                  <c:v>1680291</c:v>
                </c:pt>
                <c:pt idx="43">
                  <c:v>820724</c:v>
                </c:pt>
                <c:pt idx="44">
                  <c:v>5532555</c:v>
                </c:pt>
                <c:pt idx="45">
                  <c:v>410362</c:v>
                </c:pt>
                <c:pt idx="47">
                  <c:v>12000</c:v>
                </c:pt>
                <c:pt idx="48">
                  <c:v>25000</c:v>
                </c:pt>
                <c:pt idx="49">
                  <c:v>75000</c:v>
                </c:pt>
                <c:pt idx="52">
                  <c:v>195000</c:v>
                </c:pt>
                <c:pt idx="56">
                  <c:v>9</c:v>
                </c:pt>
                <c:pt idx="58">
                  <c:v>5</c:v>
                </c:pt>
                <c:pt idx="60" formatCode="0">
                  <c:v>46.6</c:v>
                </c:pt>
                <c:pt idx="61" formatCode="#,##0.00">
                  <c:v>2538269</c:v>
                </c:pt>
                <c:pt idx="62" formatCode="#,##0.00">
                  <c:v>766556</c:v>
                </c:pt>
                <c:pt idx="64" formatCode="#,##0.00">
                  <c:v>70636</c:v>
                </c:pt>
                <c:pt idx="70" formatCode="#,##0.00">
                  <c:v>1327564</c:v>
                </c:pt>
                <c:pt idx="73">
                  <c:v>92.56</c:v>
                </c:pt>
                <c:pt idx="74" formatCode="#,##0.00">
                  <c:v>2596057</c:v>
                </c:pt>
                <c:pt idx="75" formatCode="#,##0.00">
                  <c:v>784008</c:v>
                </c:pt>
                <c:pt idx="78">
                  <c:v>153628</c:v>
                </c:pt>
                <c:pt idx="79">
                  <c:v>769429.43000000017</c:v>
                </c:pt>
                <c:pt idx="80">
                  <c:v>166814</c:v>
                </c:pt>
                <c:pt idx="82">
                  <c:v>7500</c:v>
                </c:pt>
                <c:pt idx="84">
                  <c:v>55000</c:v>
                </c:pt>
                <c:pt idx="95" formatCode="0">
                  <c:v>47</c:v>
                </c:pt>
                <c:pt idx="96" formatCode="#,##0.00">
                  <c:v>1257764</c:v>
                </c:pt>
                <c:pt idx="97" formatCode="#,##0.00">
                  <c:v>379844</c:v>
                </c:pt>
                <c:pt idx="103">
                  <c:v>1125819</c:v>
                </c:pt>
                <c:pt idx="108">
                  <c:v>92.56</c:v>
                </c:pt>
                <c:pt idx="113">
                  <c:v>70062</c:v>
                </c:pt>
                <c:pt idx="114">
                  <c:v>269703</c:v>
                </c:pt>
                <c:pt idx="115">
                  <c:v>35031</c:v>
                </c:pt>
                <c:pt idx="117">
                  <c:v>5000</c:v>
                </c:pt>
                <c:pt idx="119">
                  <c:v>15000</c:v>
                </c:pt>
                <c:pt idx="130" formatCode="0">
                  <c:v>47</c:v>
                </c:pt>
                <c:pt idx="131" formatCode="#,##0.00">
                  <c:v>428271</c:v>
                </c:pt>
                <c:pt idx="132" formatCode="#,##0.00">
                  <c:v>129338</c:v>
                </c:pt>
                <c:pt idx="138">
                  <c:v>2580001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015040"/>
        <c:axId val="117863552"/>
      </c:barChart>
      <c:catAx>
        <c:axId val="1150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63552"/>
        <c:crosses val="autoZero"/>
        <c:auto val="1"/>
        <c:lblAlgn val="ctr"/>
        <c:lblOffset val="100"/>
        <c:noMultiLvlLbl val="0"/>
      </c:catAx>
      <c:valAx>
        <c:axId val="117863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015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872" cy="6084186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61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3.140625" style="1" customWidth="1"/>
    <col min="9" max="9" width="12.42578125" style="1" bestFit="1" customWidth="1"/>
    <col min="10" max="10" width="10" style="1" bestFit="1" customWidth="1"/>
    <col min="11" max="11" width="1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63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51" t="s">
        <v>60</v>
      </c>
      <c r="B9" s="63" t="s">
        <v>98</v>
      </c>
      <c r="C9" s="63" t="s">
        <v>55</v>
      </c>
      <c r="D9" s="57" t="s">
        <v>28</v>
      </c>
      <c r="E9" s="58"/>
      <c r="F9" s="59"/>
      <c r="G9" s="1"/>
    </row>
    <row r="10" spans="1:12" ht="15" customHeight="1" x14ac:dyDescent="0.25">
      <c r="A10" s="52"/>
      <c r="B10" s="64"/>
      <c r="C10" s="64"/>
      <c r="D10" s="57" t="s">
        <v>29</v>
      </c>
      <c r="E10" s="58"/>
      <c r="F10" s="59"/>
      <c r="G10" s="1"/>
    </row>
    <row r="11" spans="1:12" x14ac:dyDescent="0.25">
      <c r="A11" s="52"/>
      <c r="B11" s="64"/>
      <c r="C11" s="64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52"/>
      <c r="B12" s="64"/>
      <c r="C12" s="64"/>
      <c r="D12" s="6" t="s">
        <v>26</v>
      </c>
      <c r="E12" s="7" t="s">
        <v>8</v>
      </c>
      <c r="F12" s="33">
        <v>1235972</v>
      </c>
      <c r="G12" s="1"/>
    </row>
    <row r="13" spans="1:12" x14ac:dyDescent="0.25">
      <c r="A13" s="52"/>
      <c r="B13" s="64"/>
      <c r="C13" s="64"/>
      <c r="D13" s="5" t="s">
        <v>27</v>
      </c>
      <c r="E13" s="7" t="s">
        <v>8</v>
      </c>
      <c r="F13" s="34">
        <v>373263</v>
      </c>
      <c r="G13" s="1"/>
    </row>
    <row r="14" spans="1:12" ht="15" customHeight="1" x14ac:dyDescent="0.25">
      <c r="A14" s="52"/>
      <c r="B14" s="64"/>
      <c r="C14" s="64"/>
      <c r="D14" s="57" t="s">
        <v>30</v>
      </c>
      <c r="E14" s="58"/>
      <c r="F14" s="59"/>
      <c r="G14" s="1"/>
      <c r="H14" s="31"/>
    </row>
    <row r="15" spans="1:12" x14ac:dyDescent="0.25">
      <c r="A15" s="52"/>
      <c r="B15" s="64"/>
      <c r="C15" s="64"/>
      <c r="D15" s="57" t="s">
        <v>31</v>
      </c>
      <c r="E15" s="58"/>
      <c r="F15" s="59"/>
      <c r="G15" s="1"/>
    </row>
    <row r="16" spans="1:12" x14ac:dyDescent="0.25">
      <c r="A16" s="52"/>
      <c r="B16" s="64"/>
      <c r="C16" s="64"/>
      <c r="D16" s="8" t="s">
        <v>6</v>
      </c>
      <c r="E16" s="15" t="s">
        <v>2</v>
      </c>
      <c r="F16" s="16">
        <v>180159</v>
      </c>
      <c r="G16" s="1"/>
      <c r="I16" s="31">
        <f>F12+F13+F16+F17+F18+F20+F21+F23+F24+F25+F34+F35+F40+F41+F43</f>
        <v>4989369</v>
      </c>
    </row>
    <row r="17" spans="1:8" x14ac:dyDescent="0.25">
      <c r="A17" s="52"/>
      <c r="B17" s="64"/>
      <c r="C17" s="64"/>
      <c r="D17" s="8" t="s">
        <v>3</v>
      </c>
      <c r="E17" s="15" t="s">
        <v>5</v>
      </c>
      <c r="F17" s="16">
        <v>1081754</v>
      </c>
      <c r="G17" s="1"/>
    </row>
    <row r="18" spans="1:8" ht="15.75" x14ac:dyDescent="0.25">
      <c r="A18" s="52"/>
      <c r="B18" s="64"/>
      <c r="C18" s="64"/>
      <c r="D18" s="8" t="s">
        <v>42</v>
      </c>
      <c r="E18" s="15" t="s">
        <v>20</v>
      </c>
      <c r="F18" s="16">
        <v>90079</v>
      </c>
      <c r="G18" s="1"/>
    </row>
    <row r="19" spans="1:8" ht="52.5" customHeight="1" x14ac:dyDescent="0.25">
      <c r="A19" s="52"/>
      <c r="B19" s="64"/>
      <c r="C19" s="64"/>
      <c r="D19" s="57" t="s">
        <v>32</v>
      </c>
      <c r="E19" s="58"/>
      <c r="F19" s="59"/>
      <c r="G19" s="1"/>
    </row>
    <row r="20" spans="1:8" x14ac:dyDescent="0.25">
      <c r="A20" s="52"/>
      <c r="B20" s="64"/>
      <c r="C20" s="64"/>
      <c r="D20" s="49" t="s">
        <v>43</v>
      </c>
      <c r="E20" s="49"/>
      <c r="F20" s="49">
        <v>15000</v>
      </c>
      <c r="G20" s="1"/>
    </row>
    <row r="21" spans="1:8" x14ac:dyDescent="0.25">
      <c r="A21" s="52"/>
      <c r="B21" s="64"/>
      <c r="C21" s="64"/>
      <c r="D21" s="49" t="s">
        <v>44</v>
      </c>
      <c r="E21" s="49"/>
      <c r="F21" s="49"/>
      <c r="G21" s="1"/>
    </row>
    <row r="22" spans="1:8" x14ac:dyDescent="0.25">
      <c r="A22" s="52"/>
      <c r="B22" s="64"/>
      <c r="C22" s="64"/>
      <c r="D22" s="17" t="s">
        <v>21</v>
      </c>
      <c r="E22" s="4" t="s">
        <v>22</v>
      </c>
      <c r="F22" s="23">
        <v>25000</v>
      </c>
      <c r="G22" s="1"/>
    </row>
    <row r="23" spans="1:8" x14ac:dyDescent="0.25">
      <c r="A23" s="52"/>
      <c r="B23" s="64"/>
      <c r="C23" s="64"/>
      <c r="D23" s="17" t="s">
        <v>23</v>
      </c>
      <c r="E23" s="18" t="s">
        <v>16</v>
      </c>
      <c r="F23" s="10"/>
      <c r="G23" s="1"/>
    </row>
    <row r="24" spans="1:8" ht="39" x14ac:dyDescent="0.25">
      <c r="A24" s="52"/>
      <c r="B24" s="64"/>
      <c r="C24" s="64"/>
      <c r="D24" s="38" t="s">
        <v>47</v>
      </c>
      <c r="E24" s="18" t="s">
        <v>16</v>
      </c>
      <c r="F24" s="10"/>
      <c r="G24" s="1"/>
    </row>
    <row r="25" spans="1:8" x14ac:dyDescent="0.25">
      <c r="A25" s="52"/>
      <c r="B25" s="64"/>
      <c r="C25" s="64"/>
      <c r="D25" s="17" t="s">
        <v>24</v>
      </c>
      <c r="E25" s="18" t="s">
        <v>16</v>
      </c>
      <c r="F25" s="10">
        <v>55567</v>
      </c>
      <c r="G25" s="1"/>
    </row>
    <row r="26" spans="1:8" x14ac:dyDescent="0.25">
      <c r="A26" s="52"/>
      <c r="B26" s="64"/>
      <c r="C26" s="64"/>
      <c r="D26" s="17" t="s">
        <v>45</v>
      </c>
      <c r="E26" s="18" t="s">
        <v>16</v>
      </c>
      <c r="F26" s="10"/>
      <c r="G26" s="1"/>
    </row>
    <row r="27" spans="1:8" ht="26.25" x14ac:dyDescent="0.25">
      <c r="A27" s="52"/>
      <c r="B27" s="64"/>
      <c r="C27" s="64"/>
      <c r="D27" s="38" t="s">
        <v>46</v>
      </c>
      <c r="E27" s="18" t="s">
        <v>16</v>
      </c>
      <c r="F27" s="10"/>
      <c r="G27" s="1"/>
    </row>
    <row r="28" spans="1:8" ht="29.25" customHeight="1" x14ac:dyDescent="0.25">
      <c r="A28" s="52"/>
      <c r="B28" s="64"/>
      <c r="C28" s="64"/>
      <c r="D28" s="57" t="s">
        <v>34</v>
      </c>
      <c r="E28" s="58"/>
      <c r="F28" s="59"/>
      <c r="G28" s="1"/>
    </row>
    <row r="29" spans="1:8" x14ac:dyDescent="0.25">
      <c r="A29" s="52"/>
      <c r="B29" s="64"/>
      <c r="C29" s="64"/>
      <c r="D29" s="17" t="s">
        <v>9</v>
      </c>
      <c r="E29" s="19" t="s">
        <v>18</v>
      </c>
      <c r="F29" s="23">
        <v>9</v>
      </c>
      <c r="G29" s="1"/>
    </row>
    <row r="30" spans="1:8" x14ac:dyDescent="0.25">
      <c r="A30" s="52"/>
      <c r="B30" s="64"/>
      <c r="C30" s="64"/>
      <c r="D30" s="57" t="s">
        <v>33</v>
      </c>
      <c r="E30" s="58"/>
      <c r="F30" s="59"/>
      <c r="G30" s="1"/>
    </row>
    <row r="31" spans="1:8" x14ac:dyDescent="0.25">
      <c r="A31" s="52"/>
      <c r="B31" s="64"/>
      <c r="C31" s="64"/>
      <c r="D31" s="20" t="s">
        <v>7</v>
      </c>
      <c r="E31" s="22" t="s">
        <v>25</v>
      </c>
      <c r="F31" s="23">
        <v>5</v>
      </c>
      <c r="G31" s="1"/>
    </row>
    <row r="32" spans="1:8" ht="30" customHeight="1" x14ac:dyDescent="0.25">
      <c r="A32" s="52"/>
      <c r="B32" s="64"/>
      <c r="C32" s="64"/>
      <c r="D32" s="57" t="s">
        <v>35</v>
      </c>
      <c r="E32" s="58"/>
      <c r="F32" s="59"/>
      <c r="G32" s="1"/>
      <c r="H32" s="46">
        <f>F12+F13+F16+F17+F18+F20+F21+F23+F24+F25+F34+F35+F40+F41+F43</f>
        <v>4989369</v>
      </c>
    </row>
    <row r="33" spans="1:7" ht="26.25" x14ac:dyDescent="0.25">
      <c r="A33" s="52"/>
      <c r="B33" s="64"/>
      <c r="C33" s="64"/>
      <c r="D33" s="36" t="s">
        <v>41</v>
      </c>
      <c r="E33" s="18" t="s">
        <v>15</v>
      </c>
      <c r="F33" s="25">
        <v>46.6</v>
      </c>
      <c r="G33" s="1"/>
    </row>
    <row r="34" spans="1:7" x14ac:dyDescent="0.25">
      <c r="A34" s="52"/>
      <c r="B34" s="64"/>
      <c r="C34" s="64"/>
      <c r="D34" s="6" t="s">
        <v>26</v>
      </c>
      <c r="E34" s="7" t="s">
        <v>8</v>
      </c>
      <c r="F34" s="34">
        <v>746915</v>
      </c>
      <c r="G34" s="1"/>
    </row>
    <row r="35" spans="1:7" x14ac:dyDescent="0.25">
      <c r="A35" s="52"/>
      <c r="B35" s="64"/>
      <c r="C35" s="64"/>
      <c r="D35" s="5" t="s">
        <v>27</v>
      </c>
      <c r="E35" s="7" t="s">
        <v>8</v>
      </c>
      <c r="F35" s="34">
        <v>225569</v>
      </c>
      <c r="G35" s="1"/>
    </row>
    <row r="36" spans="1:7" x14ac:dyDescent="0.25">
      <c r="A36" s="52"/>
      <c r="B36" s="64"/>
      <c r="C36" s="64"/>
      <c r="D36" s="57" t="s">
        <v>36</v>
      </c>
      <c r="E36" s="58"/>
      <c r="F36" s="59"/>
      <c r="G36" s="1"/>
    </row>
    <row r="37" spans="1:7" x14ac:dyDescent="0.25">
      <c r="A37" s="52"/>
      <c r="B37" s="64"/>
      <c r="C37" s="64"/>
      <c r="D37" s="26" t="s">
        <v>19</v>
      </c>
      <c r="E37" s="27" t="s">
        <v>8</v>
      </c>
      <c r="F37" s="29">
        <v>28866</v>
      </c>
      <c r="G37" s="1"/>
    </row>
    <row r="38" spans="1:7" x14ac:dyDescent="0.25">
      <c r="A38" s="52"/>
      <c r="B38" s="64"/>
      <c r="C38" s="64"/>
      <c r="D38" s="26" t="s">
        <v>50</v>
      </c>
      <c r="E38" s="27"/>
      <c r="F38" s="29"/>
      <c r="G38" s="1"/>
    </row>
    <row r="39" spans="1:7" ht="26.25" x14ac:dyDescent="0.25">
      <c r="A39" s="52"/>
      <c r="B39" s="64"/>
      <c r="C39" s="64"/>
      <c r="D39" s="26" t="s">
        <v>51</v>
      </c>
      <c r="E39" s="27"/>
      <c r="F39" s="29"/>
      <c r="G39" s="1"/>
    </row>
    <row r="40" spans="1:7" ht="39" x14ac:dyDescent="0.25">
      <c r="A40" s="52"/>
      <c r="B40" s="64"/>
      <c r="C40" s="64"/>
      <c r="D40" s="26" t="s">
        <v>48</v>
      </c>
      <c r="E40" s="27"/>
      <c r="F40" s="29"/>
      <c r="G40" s="1"/>
    </row>
    <row r="41" spans="1:7" x14ac:dyDescent="0.25">
      <c r="A41" s="52"/>
      <c r="B41" s="64"/>
      <c r="C41" s="64"/>
      <c r="D41" s="26" t="s">
        <v>4</v>
      </c>
      <c r="E41" s="27" t="s">
        <v>17</v>
      </c>
      <c r="F41" s="28"/>
      <c r="G41" s="1"/>
    </row>
    <row r="42" spans="1:7" ht="26.25" x14ac:dyDescent="0.25">
      <c r="A42" s="52"/>
      <c r="B42" s="64"/>
      <c r="C42" s="64"/>
      <c r="D42" s="26" t="s">
        <v>49</v>
      </c>
      <c r="E42" s="10" t="s">
        <v>8</v>
      </c>
      <c r="F42" s="29"/>
      <c r="G42" s="1"/>
    </row>
    <row r="43" spans="1:7" x14ac:dyDescent="0.25">
      <c r="A43" s="53"/>
      <c r="B43" s="65"/>
      <c r="C43" s="65"/>
      <c r="D43" s="26" t="s">
        <v>62</v>
      </c>
      <c r="E43" s="10" t="s">
        <v>8</v>
      </c>
      <c r="F43" s="29">
        <v>985091</v>
      </c>
      <c r="G43" s="1"/>
    </row>
    <row r="44" spans="1:7" ht="15" customHeight="1" x14ac:dyDescent="0.25">
      <c r="A44" s="51" t="s">
        <v>60</v>
      </c>
      <c r="B44" s="63" t="s">
        <v>99</v>
      </c>
      <c r="C44" s="63" t="s">
        <v>55</v>
      </c>
      <c r="D44" s="57" t="s">
        <v>28</v>
      </c>
      <c r="E44" s="58"/>
      <c r="F44" s="59"/>
      <c r="G44" s="1"/>
    </row>
    <row r="45" spans="1:7" ht="15" customHeight="1" x14ac:dyDescent="0.25">
      <c r="A45" s="52"/>
      <c r="B45" s="64"/>
      <c r="C45" s="64"/>
      <c r="D45" s="57" t="s">
        <v>29</v>
      </c>
      <c r="E45" s="58"/>
      <c r="F45" s="59"/>
      <c r="G45" s="1"/>
    </row>
    <row r="46" spans="1:7" x14ac:dyDescent="0.25">
      <c r="A46" s="52"/>
      <c r="B46" s="64"/>
      <c r="C46" s="64"/>
      <c r="D46" s="14" t="s">
        <v>56</v>
      </c>
      <c r="E46" s="10" t="s">
        <v>15</v>
      </c>
      <c r="F46" s="10">
        <v>92.56</v>
      </c>
      <c r="G46" s="1"/>
    </row>
    <row r="47" spans="1:7" x14ac:dyDescent="0.25">
      <c r="A47" s="52"/>
      <c r="B47" s="64"/>
      <c r="C47" s="64"/>
      <c r="D47" s="6" t="s">
        <v>26</v>
      </c>
      <c r="E47" s="7" t="s">
        <v>8</v>
      </c>
      <c r="F47" s="33">
        <f>686651+2002+4875225</f>
        <v>5563878</v>
      </c>
      <c r="G47" s="1"/>
    </row>
    <row r="48" spans="1:7" x14ac:dyDescent="0.25">
      <c r="A48" s="52"/>
      <c r="B48" s="64"/>
      <c r="C48" s="64"/>
      <c r="D48" s="5" t="s">
        <v>27</v>
      </c>
      <c r="E48" s="7" t="s">
        <v>8</v>
      </c>
      <c r="F48" s="34">
        <f>1472318+605+207368</f>
        <v>1680291</v>
      </c>
      <c r="G48" s="1"/>
    </row>
    <row r="49" spans="1:8" ht="15" customHeight="1" x14ac:dyDescent="0.25">
      <c r="A49" s="52"/>
      <c r="B49" s="64"/>
      <c r="C49" s="64"/>
      <c r="D49" s="57" t="s">
        <v>30</v>
      </c>
      <c r="E49" s="58"/>
      <c r="F49" s="59"/>
      <c r="G49" s="1"/>
    </row>
    <row r="50" spans="1:8" x14ac:dyDescent="0.25">
      <c r="A50" s="52"/>
      <c r="B50" s="64"/>
      <c r="C50" s="64"/>
      <c r="D50" s="57" t="s">
        <v>31</v>
      </c>
      <c r="E50" s="58"/>
      <c r="F50" s="59"/>
      <c r="G50" s="1"/>
    </row>
    <row r="51" spans="1:8" x14ac:dyDescent="0.25">
      <c r="A51" s="52"/>
      <c r="B51" s="64"/>
      <c r="C51" s="64"/>
      <c r="D51" s="8" t="s">
        <v>6</v>
      </c>
      <c r="E51" s="15" t="s">
        <v>2</v>
      </c>
      <c r="F51" s="16">
        <f>100088+10008+710628</f>
        <v>820724</v>
      </c>
      <c r="G51" s="1"/>
    </row>
    <row r="52" spans="1:8" x14ac:dyDescent="0.25">
      <c r="A52" s="52"/>
      <c r="B52" s="64"/>
      <c r="C52" s="64"/>
      <c r="D52" s="8" t="s">
        <v>3</v>
      </c>
      <c r="E52" s="15" t="s">
        <v>5</v>
      </c>
      <c r="F52" s="16">
        <f>4787003+110099+635453</f>
        <v>5532555</v>
      </c>
      <c r="G52" s="1"/>
    </row>
    <row r="53" spans="1:8" ht="15.75" x14ac:dyDescent="0.25">
      <c r="A53" s="52"/>
      <c r="B53" s="64"/>
      <c r="C53" s="64"/>
      <c r="D53" s="8" t="s">
        <v>42</v>
      </c>
      <c r="E53" s="15" t="s">
        <v>20</v>
      </c>
      <c r="F53" s="16">
        <f>50044+5004+355314</f>
        <v>410362</v>
      </c>
      <c r="G53" s="1"/>
    </row>
    <row r="54" spans="1:8" ht="36" customHeight="1" x14ac:dyDescent="0.25">
      <c r="A54" s="52"/>
      <c r="B54" s="64"/>
      <c r="C54" s="64"/>
      <c r="D54" s="57" t="s">
        <v>32</v>
      </c>
      <c r="E54" s="58"/>
      <c r="F54" s="59"/>
      <c r="G54" s="1"/>
    </row>
    <row r="55" spans="1:8" x14ac:dyDescent="0.25">
      <c r="A55" s="52"/>
      <c r="B55" s="64"/>
      <c r="C55" s="64"/>
      <c r="D55" s="49" t="s">
        <v>43</v>
      </c>
      <c r="E55" s="49"/>
      <c r="F55" s="49">
        <f>2000+10000</f>
        <v>12000</v>
      </c>
      <c r="G55" s="1"/>
    </row>
    <row r="56" spans="1:8" x14ac:dyDescent="0.25">
      <c r="A56" s="52"/>
      <c r="B56" s="64"/>
      <c r="C56" s="64"/>
      <c r="D56" s="49" t="s">
        <v>44</v>
      </c>
      <c r="E56" s="49"/>
      <c r="F56" s="49">
        <f>25000</f>
        <v>25000</v>
      </c>
      <c r="G56" s="1"/>
    </row>
    <row r="57" spans="1:8" x14ac:dyDescent="0.25">
      <c r="A57" s="52"/>
      <c r="B57" s="64"/>
      <c r="C57" s="64"/>
      <c r="D57" s="17" t="s">
        <v>21</v>
      </c>
      <c r="E57" s="4" t="s">
        <v>22</v>
      </c>
      <c r="F57" s="23">
        <f>25000+15000+35000</f>
        <v>75000</v>
      </c>
      <c r="G57" s="1"/>
    </row>
    <row r="58" spans="1:8" x14ac:dyDescent="0.25">
      <c r="A58" s="52"/>
      <c r="B58" s="64"/>
      <c r="C58" s="64"/>
      <c r="D58" s="17" t="s">
        <v>23</v>
      </c>
      <c r="E58" s="18" t="s">
        <v>16</v>
      </c>
      <c r="F58" s="10"/>
      <c r="G58" s="1"/>
    </row>
    <row r="59" spans="1:8" ht="39" x14ac:dyDescent="0.25">
      <c r="A59" s="52"/>
      <c r="B59" s="64"/>
      <c r="C59" s="64"/>
      <c r="D59" s="38" t="s">
        <v>47</v>
      </c>
      <c r="E59" s="18" t="s">
        <v>16</v>
      </c>
      <c r="F59" s="10"/>
      <c r="G59" s="1"/>
    </row>
    <row r="60" spans="1:8" x14ac:dyDescent="0.25">
      <c r="A60" s="52"/>
      <c r="B60" s="64"/>
      <c r="C60" s="64"/>
      <c r="D60" s="17" t="s">
        <v>24</v>
      </c>
      <c r="E60" s="18" t="s">
        <v>16</v>
      </c>
      <c r="F60" s="10">
        <f>55000+75000+65000</f>
        <v>195000</v>
      </c>
      <c r="G60" s="1"/>
    </row>
    <row r="61" spans="1:8" x14ac:dyDescent="0.25">
      <c r="A61" s="52"/>
      <c r="B61" s="64"/>
      <c r="C61" s="64"/>
      <c r="D61" s="17" t="s">
        <v>45</v>
      </c>
      <c r="E61" s="18" t="s">
        <v>16</v>
      </c>
      <c r="F61" s="10"/>
      <c r="G61" s="1"/>
    </row>
    <row r="62" spans="1:8" ht="26.25" x14ac:dyDescent="0.25">
      <c r="A62" s="52"/>
      <c r="B62" s="64"/>
      <c r="C62" s="64"/>
      <c r="D62" s="38" t="s">
        <v>46</v>
      </c>
      <c r="E62" s="18" t="s">
        <v>16</v>
      </c>
      <c r="F62" s="10"/>
      <c r="G62" s="1"/>
    </row>
    <row r="63" spans="1:8" ht="27" customHeight="1" x14ac:dyDescent="0.25">
      <c r="A63" s="52"/>
      <c r="B63" s="64"/>
      <c r="C63" s="64"/>
      <c r="D63" s="57" t="s">
        <v>34</v>
      </c>
      <c r="E63" s="58"/>
      <c r="F63" s="59"/>
      <c r="G63" s="1"/>
    </row>
    <row r="64" spans="1:8" x14ac:dyDescent="0.25">
      <c r="A64" s="52"/>
      <c r="B64" s="64"/>
      <c r="C64" s="64"/>
      <c r="D64" s="17" t="s">
        <v>9</v>
      </c>
      <c r="E64" s="19" t="s">
        <v>18</v>
      </c>
      <c r="F64" s="23">
        <v>9</v>
      </c>
      <c r="G64" s="1"/>
      <c r="H64" s="46">
        <f>F48+F47+F51+F52+F53+F55+F56+F58+F59+F60+F69+F70+F75+F76+F78+F72</f>
        <v>18942835</v>
      </c>
    </row>
    <row r="65" spans="1:7" x14ac:dyDescent="0.25">
      <c r="A65" s="52"/>
      <c r="B65" s="64"/>
      <c r="C65" s="64"/>
      <c r="D65" s="57" t="s">
        <v>33</v>
      </c>
      <c r="E65" s="58"/>
      <c r="F65" s="59"/>
      <c r="G65" s="1"/>
    </row>
    <row r="66" spans="1:7" x14ac:dyDescent="0.25">
      <c r="A66" s="52"/>
      <c r="B66" s="64"/>
      <c r="C66" s="64"/>
      <c r="D66" s="20" t="s">
        <v>7</v>
      </c>
      <c r="E66" s="22" t="s">
        <v>25</v>
      </c>
      <c r="F66" s="23">
        <v>5</v>
      </c>
      <c r="G66" s="1"/>
    </row>
    <row r="67" spans="1:7" ht="35.25" customHeight="1" x14ac:dyDescent="0.25">
      <c r="A67" s="52"/>
      <c r="B67" s="64"/>
      <c r="C67" s="64"/>
      <c r="D67" s="57" t="s">
        <v>35</v>
      </c>
      <c r="E67" s="58"/>
      <c r="F67" s="59"/>
      <c r="G67" s="1"/>
    </row>
    <row r="68" spans="1:7" ht="26.25" x14ac:dyDescent="0.25">
      <c r="A68" s="52"/>
      <c r="B68" s="64"/>
      <c r="C68" s="64"/>
      <c r="D68" s="36" t="s">
        <v>41</v>
      </c>
      <c r="E68" s="18" t="s">
        <v>15</v>
      </c>
      <c r="F68" s="25">
        <v>46.6</v>
      </c>
      <c r="G68" s="1"/>
    </row>
    <row r="69" spans="1:7" x14ac:dyDescent="0.25">
      <c r="A69" s="52"/>
      <c r="B69" s="64"/>
      <c r="C69" s="64"/>
      <c r="D69" s="6" t="s">
        <v>26</v>
      </c>
      <c r="E69" s="7" t="s">
        <v>8</v>
      </c>
      <c r="F69" s="34">
        <f>2785843+3923+392372-643869</f>
        <v>2538269</v>
      </c>
      <c r="G69" s="1"/>
    </row>
    <row r="70" spans="1:7" x14ac:dyDescent="0.25">
      <c r="A70" s="52"/>
      <c r="B70" s="64"/>
      <c r="C70" s="64"/>
      <c r="D70" s="5" t="s">
        <v>27</v>
      </c>
      <c r="E70" s="7" t="s">
        <v>8</v>
      </c>
      <c r="F70" s="34">
        <f>118496+1184+841324-194448</f>
        <v>766556</v>
      </c>
      <c r="G70" s="1"/>
    </row>
    <row r="71" spans="1:7" x14ac:dyDescent="0.25">
      <c r="A71" s="52"/>
      <c r="B71" s="64"/>
      <c r="C71" s="64"/>
      <c r="D71" s="57" t="s">
        <v>36</v>
      </c>
      <c r="E71" s="58"/>
      <c r="F71" s="59"/>
      <c r="G71" s="1"/>
    </row>
    <row r="72" spans="1:7" x14ac:dyDescent="0.25">
      <c r="A72" s="52"/>
      <c r="B72" s="64"/>
      <c r="C72" s="64"/>
      <c r="D72" s="26" t="s">
        <v>19</v>
      </c>
      <c r="E72" s="27" t="s">
        <v>8</v>
      </c>
      <c r="F72" s="29">
        <f>55000+15636</f>
        <v>70636</v>
      </c>
      <c r="G72" s="1"/>
    </row>
    <row r="73" spans="1:7" x14ac:dyDescent="0.25">
      <c r="A73" s="52"/>
      <c r="B73" s="64"/>
      <c r="C73" s="64"/>
      <c r="D73" s="26" t="s">
        <v>50</v>
      </c>
      <c r="E73" s="27"/>
      <c r="F73" s="29"/>
      <c r="G73" s="1"/>
    </row>
    <row r="74" spans="1:7" ht="26.25" x14ac:dyDescent="0.25">
      <c r="A74" s="52"/>
      <c r="B74" s="64"/>
      <c r="C74" s="64"/>
      <c r="D74" s="26" t="s">
        <v>51</v>
      </c>
      <c r="E74" s="27"/>
      <c r="F74" s="29"/>
      <c r="G74" s="1"/>
    </row>
    <row r="75" spans="1:7" ht="39" x14ac:dyDescent="0.25">
      <c r="A75" s="52"/>
      <c r="B75" s="64"/>
      <c r="C75" s="64"/>
      <c r="D75" s="26" t="s">
        <v>48</v>
      </c>
      <c r="E75" s="27"/>
      <c r="F75" s="29"/>
      <c r="G75" s="1"/>
    </row>
    <row r="76" spans="1:7" x14ac:dyDescent="0.25">
      <c r="A76" s="52"/>
      <c r="B76" s="64"/>
      <c r="C76" s="64"/>
      <c r="D76" s="26" t="s">
        <v>4</v>
      </c>
      <c r="E76" s="27" t="s">
        <v>17</v>
      </c>
      <c r="F76" s="28"/>
      <c r="G76" s="1"/>
    </row>
    <row r="77" spans="1:7" ht="26.25" x14ac:dyDescent="0.25">
      <c r="A77" s="52"/>
      <c r="B77" s="64"/>
      <c r="C77" s="64"/>
      <c r="D77" s="26" t="s">
        <v>49</v>
      </c>
      <c r="E77" s="10" t="s">
        <v>8</v>
      </c>
      <c r="F77" s="29"/>
      <c r="G77" s="1"/>
    </row>
    <row r="78" spans="1:7" x14ac:dyDescent="0.25">
      <c r="A78" s="53"/>
      <c r="B78" s="65"/>
      <c r="C78" s="65"/>
      <c r="D78" s="26" t="s">
        <v>62</v>
      </c>
      <c r="E78" s="10" t="s">
        <v>8</v>
      </c>
      <c r="F78" s="29">
        <v>1327564</v>
      </c>
      <c r="G78" s="1"/>
    </row>
    <row r="79" spans="1:7" ht="15" customHeight="1" x14ac:dyDescent="0.25">
      <c r="A79" s="51" t="s">
        <v>39</v>
      </c>
      <c r="B79" s="54" t="s">
        <v>100</v>
      </c>
      <c r="C79" s="54" t="s">
        <v>55</v>
      </c>
      <c r="D79" s="57" t="s">
        <v>28</v>
      </c>
      <c r="E79" s="58"/>
      <c r="F79" s="59"/>
    </row>
    <row r="80" spans="1:7" x14ac:dyDescent="0.25">
      <c r="A80" s="52"/>
      <c r="B80" s="55"/>
      <c r="C80" s="55"/>
      <c r="D80" s="60" t="s">
        <v>29</v>
      </c>
      <c r="E80" s="60"/>
      <c r="F80" s="60"/>
    </row>
    <row r="81" spans="1:8" x14ac:dyDescent="0.25">
      <c r="A81" s="52"/>
      <c r="B81" s="55"/>
      <c r="C81" s="55"/>
      <c r="D81" s="14" t="s">
        <v>40</v>
      </c>
      <c r="E81" s="10" t="s">
        <v>15</v>
      </c>
      <c r="F81" s="10">
        <v>92.56</v>
      </c>
    </row>
    <row r="82" spans="1:8" x14ac:dyDescent="0.25">
      <c r="A82" s="52"/>
      <c r="B82" s="55"/>
      <c r="C82" s="55"/>
      <c r="D82" s="6" t="s">
        <v>26</v>
      </c>
      <c r="E82" s="7" t="s">
        <v>8</v>
      </c>
      <c r="F82" s="33">
        <f>22888+480656+1785293+307220</f>
        <v>2596057</v>
      </c>
    </row>
    <row r="83" spans="1:8" x14ac:dyDescent="0.25">
      <c r="A83" s="52"/>
      <c r="B83" s="55"/>
      <c r="C83" s="55"/>
      <c r="D83" s="5" t="s">
        <v>27</v>
      </c>
      <c r="E83" s="7" t="s">
        <v>8</v>
      </c>
      <c r="F83" s="34">
        <f>539158+145158+6912+92780</f>
        <v>784008</v>
      </c>
    </row>
    <row r="84" spans="1:8" x14ac:dyDescent="0.25">
      <c r="A84" s="52"/>
      <c r="B84" s="55"/>
      <c r="C84" s="55"/>
      <c r="D84" s="57" t="s">
        <v>30</v>
      </c>
      <c r="E84" s="58"/>
      <c r="F84" s="59"/>
    </row>
    <row r="85" spans="1:8" x14ac:dyDescent="0.25">
      <c r="A85" s="52"/>
      <c r="B85" s="55"/>
      <c r="C85" s="55"/>
      <c r="D85" s="57" t="s">
        <v>31</v>
      </c>
      <c r="E85" s="58"/>
      <c r="F85" s="59"/>
    </row>
    <row r="86" spans="1:8" x14ac:dyDescent="0.25">
      <c r="A86" s="52"/>
      <c r="B86" s="55"/>
      <c r="C86" s="55"/>
      <c r="D86" s="8" t="s">
        <v>6</v>
      </c>
      <c r="E86" s="15" t="s">
        <v>2</v>
      </c>
      <c r="F86" s="16">
        <f>3336+70062+260230-180000</f>
        <v>153628</v>
      </c>
    </row>
    <row r="87" spans="1:8" x14ac:dyDescent="0.25">
      <c r="A87" s="52"/>
      <c r="B87" s="55"/>
      <c r="C87" s="55"/>
      <c r="D87" s="8" t="s">
        <v>3</v>
      </c>
      <c r="E87" s="15" t="s">
        <v>5</v>
      </c>
      <c r="F87" s="16">
        <f>1781405+469703+18321.43-800000-500000-200000</f>
        <v>769429.43000000017</v>
      </c>
    </row>
    <row r="88" spans="1:8" ht="15.75" x14ac:dyDescent="0.25">
      <c r="A88" s="52"/>
      <c r="B88" s="55"/>
      <c r="C88" s="55"/>
      <c r="D88" s="8" t="s">
        <v>42</v>
      </c>
      <c r="E88" s="15" t="s">
        <v>20</v>
      </c>
      <c r="F88" s="16">
        <f>1668+35031+130115</f>
        <v>166814</v>
      </c>
      <c r="H88" s="31" t="e">
        <f>H32+#REF!+#REF!</f>
        <v>#REF!</v>
      </c>
    </row>
    <row r="89" spans="1:8" ht="21.75" customHeight="1" x14ac:dyDescent="0.25">
      <c r="A89" s="52"/>
      <c r="B89" s="55"/>
      <c r="C89" s="55"/>
      <c r="D89" s="57" t="s">
        <v>32</v>
      </c>
      <c r="E89" s="58"/>
      <c r="F89" s="59"/>
    </row>
    <row r="90" spans="1:8" x14ac:dyDescent="0.25">
      <c r="A90" s="52"/>
      <c r="B90" s="55"/>
      <c r="C90" s="55"/>
      <c r="D90" s="49" t="s">
        <v>43</v>
      </c>
      <c r="E90" s="49"/>
      <c r="F90" s="49">
        <f>2500+5000</f>
        <v>7500</v>
      </c>
    </row>
    <row r="91" spans="1:8" x14ac:dyDescent="0.25">
      <c r="A91" s="52"/>
      <c r="B91" s="55"/>
      <c r="C91" s="55"/>
      <c r="D91" s="49" t="s">
        <v>44</v>
      </c>
      <c r="E91" s="49"/>
      <c r="F91" s="49"/>
    </row>
    <row r="92" spans="1:8" x14ac:dyDescent="0.25">
      <c r="A92" s="52"/>
      <c r="B92" s="55"/>
      <c r="C92" s="55"/>
      <c r="D92" s="17" t="s">
        <v>21</v>
      </c>
      <c r="E92" s="4" t="s">
        <v>22</v>
      </c>
      <c r="F92" s="23">
        <f>5000+15000+35000</f>
        <v>55000</v>
      </c>
    </row>
    <row r="93" spans="1:8" x14ac:dyDescent="0.25">
      <c r="A93" s="52"/>
      <c r="B93" s="55"/>
      <c r="C93" s="55"/>
      <c r="D93" s="17" t="s">
        <v>23</v>
      </c>
      <c r="E93" s="18" t="s">
        <v>16</v>
      </c>
      <c r="F93" s="10"/>
    </row>
    <row r="94" spans="1:8" ht="39" x14ac:dyDescent="0.25">
      <c r="A94" s="52"/>
      <c r="B94" s="55"/>
      <c r="C94" s="55"/>
      <c r="D94" s="38" t="s">
        <v>47</v>
      </c>
      <c r="E94" s="18"/>
      <c r="F94" s="10"/>
      <c r="H94" s="46">
        <f>F82+F83+F86+F87+F88+F92+F95+F96+F104+F105+F107+F111+F112+F113</f>
        <v>7288363.4299999997</v>
      </c>
    </row>
    <row r="95" spans="1:8" x14ac:dyDescent="0.25">
      <c r="A95" s="52"/>
      <c r="B95" s="55"/>
      <c r="C95" s="55"/>
      <c r="D95" s="17" t="s">
        <v>24</v>
      </c>
      <c r="E95" s="18"/>
      <c r="F95" s="10"/>
    </row>
    <row r="96" spans="1:8" x14ac:dyDescent="0.25">
      <c r="A96" s="52"/>
      <c r="B96" s="55"/>
      <c r="C96" s="55"/>
      <c r="D96" s="17" t="s">
        <v>45</v>
      </c>
      <c r="E96" s="18"/>
      <c r="F96" s="10"/>
    </row>
    <row r="97" spans="1:6" ht="26.25" x14ac:dyDescent="0.25">
      <c r="A97" s="52"/>
      <c r="B97" s="55"/>
      <c r="C97" s="55"/>
      <c r="D97" s="38" t="s">
        <v>46</v>
      </c>
      <c r="E97" s="18"/>
      <c r="F97" s="10"/>
    </row>
    <row r="98" spans="1:6" ht="39.75" customHeight="1" x14ac:dyDescent="0.25">
      <c r="A98" s="52"/>
      <c r="B98" s="55"/>
      <c r="C98" s="55"/>
      <c r="D98" s="57" t="s">
        <v>34</v>
      </c>
      <c r="E98" s="58"/>
      <c r="F98" s="59"/>
    </row>
    <row r="99" spans="1:6" ht="25.5" x14ac:dyDescent="0.25">
      <c r="A99" s="52"/>
      <c r="B99" s="55"/>
      <c r="C99" s="55"/>
      <c r="D99" s="17" t="s">
        <v>9</v>
      </c>
      <c r="E99" s="39" t="s">
        <v>18</v>
      </c>
      <c r="F99" s="23"/>
    </row>
    <row r="100" spans="1:6" x14ac:dyDescent="0.25">
      <c r="A100" s="52"/>
      <c r="B100" s="55"/>
      <c r="C100" s="55"/>
      <c r="D100" s="57" t="s">
        <v>33</v>
      </c>
      <c r="E100" s="58"/>
      <c r="F100" s="59"/>
    </row>
    <row r="101" spans="1:6" x14ac:dyDescent="0.25">
      <c r="A101" s="52"/>
      <c r="B101" s="55"/>
      <c r="C101" s="55"/>
      <c r="D101" s="20" t="s">
        <v>7</v>
      </c>
      <c r="E101" s="22" t="s">
        <v>25</v>
      </c>
      <c r="F101" s="23"/>
    </row>
    <row r="102" spans="1:6" x14ac:dyDescent="0.25">
      <c r="A102" s="52"/>
      <c r="B102" s="55"/>
      <c r="C102" s="55"/>
      <c r="D102" s="60" t="s">
        <v>35</v>
      </c>
      <c r="E102" s="60"/>
      <c r="F102" s="60"/>
    </row>
    <row r="103" spans="1:6" ht="26.25" x14ac:dyDescent="0.25">
      <c r="A103" s="52"/>
      <c r="B103" s="55"/>
      <c r="C103" s="55"/>
      <c r="D103" s="36" t="s">
        <v>41</v>
      </c>
      <c r="E103" s="18" t="s">
        <v>15</v>
      </c>
      <c r="F103" s="25">
        <v>47</v>
      </c>
    </row>
    <row r="104" spans="1:6" x14ac:dyDescent="0.25">
      <c r="A104" s="52"/>
      <c r="B104" s="55"/>
      <c r="C104" s="55"/>
      <c r="D104" s="6" t="s">
        <v>26</v>
      </c>
      <c r="E104" s="7" t="s">
        <v>8</v>
      </c>
      <c r="F104" s="33">
        <f>307220+274661+384025+291858</f>
        <v>1257764</v>
      </c>
    </row>
    <row r="105" spans="1:6" x14ac:dyDescent="0.25">
      <c r="A105" s="52"/>
      <c r="B105" s="55"/>
      <c r="C105" s="55"/>
      <c r="D105" s="5" t="s">
        <v>27</v>
      </c>
      <c r="E105" s="7" t="s">
        <v>8</v>
      </c>
      <c r="F105" s="34">
        <f>92780+82948+115975+88141</f>
        <v>379844</v>
      </c>
    </row>
    <row r="106" spans="1:6" x14ac:dyDescent="0.25">
      <c r="A106" s="52"/>
      <c r="B106" s="55"/>
      <c r="C106" s="55"/>
      <c r="D106" s="60" t="s">
        <v>36</v>
      </c>
      <c r="E106" s="60"/>
      <c r="F106" s="60"/>
    </row>
    <row r="107" spans="1:6" x14ac:dyDescent="0.25">
      <c r="A107" s="52"/>
      <c r="B107" s="55"/>
      <c r="C107" s="55"/>
      <c r="D107" s="26" t="s">
        <v>19</v>
      </c>
      <c r="E107" s="27" t="s">
        <v>8</v>
      </c>
      <c r="F107" s="2"/>
    </row>
    <row r="108" spans="1:6" x14ac:dyDescent="0.25">
      <c r="A108" s="52"/>
      <c r="B108" s="55"/>
      <c r="C108" s="55"/>
      <c r="D108" s="26" t="s">
        <v>50</v>
      </c>
      <c r="E108" s="27"/>
      <c r="F108" s="2"/>
    </row>
    <row r="109" spans="1:6" x14ac:dyDescent="0.25">
      <c r="A109" s="52"/>
      <c r="B109" s="55"/>
      <c r="C109" s="55"/>
      <c r="D109" s="26" t="s">
        <v>52</v>
      </c>
      <c r="E109" s="27"/>
      <c r="F109" s="2"/>
    </row>
    <row r="110" spans="1:6" ht="39" x14ac:dyDescent="0.25">
      <c r="A110" s="52"/>
      <c r="B110" s="55"/>
      <c r="C110" s="55"/>
      <c r="D110" s="26" t="s">
        <v>48</v>
      </c>
      <c r="E110" s="27"/>
      <c r="F110" s="2"/>
    </row>
    <row r="111" spans="1:6" x14ac:dyDescent="0.25">
      <c r="A111" s="52"/>
      <c r="B111" s="55"/>
      <c r="C111" s="55"/>
      <c r="D111" s="26" t="s">
        <v>62</v>
      </c>
      <c r="E111" s="10" t="s">
        <v>8</v>
      </c>
      <c r="F111" s="2">
        <v>1125819</v>
      </c>
    </row>
    <row r="112" spans="1:6" ht="26.25" x14ac:dyDescent="0.25">
      <c r="A112" s="52"/>
      <c r="B112" s="55"/>
      <c r="C112" s="55"/>
      <c r="D112" s="26" t="s">
        <v>49</v>
      </c>
      <c r="E112" s="10" t="s">
        <v>8</v>
      </c>
      <c r="F112" s="2"/>
    </row>
    <row r="113" spans="1:6" x14ac:dyDescent="0.25">
      <c r="A113" s="53"/>
      <c r="B113" s="56"/>
      <c r="C113" s="56"/>
      <c r="D113" s="26" t="s">
        <v>62</v>
      </c>
      <c r="E113" s="10" t="s">
        <v>8</v>
      </c>
      <c r="F113" s="2"/>
    </row>
    <row r="114" spans="1:6" ht="15" customHeight="1" x14ac:dyDescent="0.25">
      <c r="A114" s="51" t="s">
        <v>101</v>
      </c>
      <c r="B114" s="54" t="s">
        <v>102</v>
      </c>
      <c r="C114" s="54" t="s">
        <v>55</v>
      </c>
      <c r="D114" s="57" t="s">
        <v>28</v>
      </c>
      <c r="E114" s="58"/>
      <c r="F114" s="59"/>
    </row>
    <row r="115" spans="1:6" x14ac:dyDescent="0.25">
      <c r="A115" s="52"/>
      <c r="B115" s="55"/>
      <c r="C115" s="55"/>
      <c r="D115" s="60" t="s">
        <v>29</v>
      </c>
      <c r="E115" s="60"/>
      <c r="F115" s="60"/>
    </row>
    <row r="116" spans="1:6" x14ac:dyDescent="0.25">
      <c r="A116" s="52"/>
      <c r="B116" s="55"/>
      <c r="C116" s="55"/>
      <c r="D116" s="14" t="s">
        <v>40</v>
      </c>
      <c r="E116" s="10" t="s">
        <v>15</v>
      </c>
      <c r="F116" s="10">
        <v>92.56</v>
      </c>
    </row>
    <row r="117" spans="1:6" x14ac:dyDescent="0.25">
      <c r="A117" s="52"/>
      <c r="B117" s="55"/>
      <c r="C117" s="55"/>
      <c r="D117" s="6" t="s">
        <v>26</v>
      </c>
      <c r="E117" s="7" t="s">
        <v>8</v>
      </c>
      <c r="F117" s="33"/>
    </row>
    <row r="118" spans="1:6" x14ac:dyDescent="0.25">
      <c r="A118" s="52"/>
      <c r="B118" s="55"/>
      <c r="C118" s="55"/>
      <c r="D118" s="5" t="s">
        <v>27</v>
      </c>
      <c r="E118" s="7" t="s">
        <v>8</v>
      </c>
      <c r="F118" s="34"/>
    </row>
    <row r="119" spans="1:6" x14ac:dyDescent="0.25">
      <c r="A119" s="52"/>
      <c r="B119" s="55"/>
      <c r="C119" s="55"/>
      <c r="D119" s="57" t="s">
        <v>30</v>
      </c>
      <c r="E119" s="58"/>
      <c r="F119" s="59"/>
    </row>
    <row r="120" spans="1:6" x14ac:dyDescent="0.25">
      <c r="A120" s="52"/>
      <c r="B120" s="55"/>
      <c r="C120" s="55"/>
      <c r="D120" s="57" t="s">
        <v>31</v>
      </c>
      <c r="E120" s="58"/>
      <c r="F120" s="59"/>
    </row>
    <row r="121" spans="1:6" x14ac:dyDescent="0.25">
      <c r="A121" s="52"/>
      <c r="B121" s="55"/>
      <c r="C121" s="55"/>
      <c r="D121" s="8" t="s">
        <v>6</v>
      </c>
      <c r="E121" s="15" t="s">
        <v>2</v>
      </c>
      <c r="F121" s="16">
        <v>70062</v>
      </c>
    </row>
    <row r="122" spans="1:6" x14ac:dyDescent="0.25">
      <c r="A122" s="52"/>
      <c r="B122" s="55"/>
      <c r="C122" s="55"/>
      <c r="D122" s="8" t="s">
        <v>3</v>
      </c>
      <c r="E122" s="15" t="s">
        <v>5</v>
      </c>
      <c r="F122" s="16">
        <f>770681-300978-100000-100000</f>
        <v>269703</v>
      </c>
    </row>
    <row r="123" spans="1:6" ht="15.75" x14ac:dyDescent="0.25">
      <c r="A123" s="52"/>
      <c r="B123" s="55"/>
      <c r="C123" s="55"/>
      <c r="D123" s="8" t="s">
        <v>42</v>
      </c>
      <c r="E123" s="15" t="s">
        <v>20</v>
      </c>
      <c r="F123" s="16">
        <v>35031</v>
      </c>
    </row>
    <row r="124" spans="1:6" ht="24" customHeight="1" x14ac:dyDescent="0.25">
      <c r="A124" s="52"/>
      <c r="B124" s="55"/>
      <c r="C124" s="55"/>
      <c r="D124" s="57" t="s">
        <v>32</v>
      </c>
      <c r="E124" s="58"/>
      <c r="F124" s="59"/>
    </row>
    <row r="125" spans="1:6" x14ac:dyDescent="0.25">
      <c r="A125" s="52"/>
      <c r="B125" s="55"/>
      <c r="C125" s="55"/>
      <c r="D125" s="49" t="s">
        <v>43</v>
      </c>
      <c r="E125" s="49"/>
      <c r="F125" s="49">
        <v>5000</v>
      </c>
    </row>
    <row r="126" spans="1:6" x14ac:dyDescent="0.25">
      <c r="A126" s="52"/>
      <c r="B126" s="55"/>
      <c r="C126" s="55"/>
      <c r="D126" s="49" t="s">
        <v>44</v>
      </c>
      <c r="E126" s="49"/>
      <c r="F126" s="49"/>
    </row>
    <row r="127" spans="1:6" x14ac:dyDescent="0.25">
      <c r="A127" s="52"/>
      <c r="B127" s="55"/>
      <c r="C127" s="55"/>
      <c r="D127" s="17" t="s">
        <v>21</v>
      </c>
      <c r="E127" s="4" t="s">
        <v>22</v>
      </c>
      <c r="F127" s="23">
        <v>15000</v>
      </c>
    </row>
    <row r="128" spans="1:6" x14ac:dyDescent="0.25">
      <c r="A128" s="52"/>
      <c r="B128" s="55"/>
      <c r="C128" s="55"/>
      <c r="D128" s="17" t="s">
        <v>23</v>
      </c>
      <c r="E128" s="18" t="s">
        <v>16</v>
      </c>
      <c r="F128" s="10"/>
    </row>
    <row r="129" spans="1:8" ht="39" x14ac:dyDescent="0.25">
      <c r="A129" s="52"/>
      <c r="B129" s="55"/>
      <c r="C129" s="55"/>
      <c r="D129" s="38" t="s">
        <v>47</v>
      </c>
      <c r="E129" s="18"/>
      <c r="F129" s="10"/>
    </row>
    <row r="130" spans="1:8" x14ac:dyDescent="0.25">
      <c r="A130" s="52"/>
      <c r="B130" s="55"/>
      <c r="C130" s="55"/>
      <c r="D130" s="17" t="s">
        <v>24</v>
      </c>
      <c r="E130" s="18"/>
      <c r="F130" s="10"/>
    </row>
    <row r="131" spans="1:8" x14ac:dyDescent="0.25">
      <c r="A131" s="52"/>
      <c r="B131" s="55"/>
      <c r="C131" s="55"/>
      <c r="D131" s="17" t="s">
        <v>45</v>
      </c>
      <c r="E131" s="18"/>
      <c r="F131" s="10"/>
    </row>
    <row r="132" spans="1:8" ht="26.25" x14ac:dyDescent="0.25">
      <c r="A132" s="52"/>
      <c r="B132" s="55"/>
      <c r="C132" s="55"/>
      <c r="D132" s="38" t="s">
        <v>46</v>
      </c>
      <c r="E132" s="18"/>
      <c r="F132" s="10"/>
    </row>
    <row r="133" spans="1:8" ht="27" customHeight="1" x14ac:dyDescent="0.25">
      <c r="A133" s="52"/>
      <c r="B133" s="55"/>
      <c r="C133" s="55"/>
      <c r="D133" s="57" t="s">
        <v>34</v>
      </c>
      <c r="E133" s="58"/>
      <c r="F133" s="59"/>
    </row>
    <row r="134" spans="1:8" ht="25.5" x14ac:dyDescent="0.25">
      <c r="A134" s="52"/>
      <c r="B134" s="55"/>
      <c r="C134" s="55"/>
      <c r="D134" s="17" t="s">
        <v>9</v>
      </c>
      <c r="E134" s="39" t="s">
        <v>18</v>
      </c>
      <c r="F134" s="23"/>
    </row>
    <row r="135" spans="1:8" x14ac:dyDescent="0.25">
      <c r="A135" s="52"/>
      <c r="B135" s="55"/>
      <c r="C135" s="55"/>
      <c r="D135" s="57" t="s">
        <v>33</v>
      </c>
      <c r="E135" s="58"/>
      <c r="F135" s="59"/>
    </row>
    <row r="136" spans="1:8" x14ac:dyDescent="0.25">
      <c r="A136" s="52"/>
      <c r="B136" s="55"/>
      <c r="C136" s="55"/>
      <c r="D136" s="20" t="s">
        <v>7</v>
      </c>
      <c r="E136" s="22" t="s">
        <v>25</v>
      </c>
      <c r="F136" s="23"/>
    </row>
    <row r="137" spans="1:8" ht="26.25" customHeight="1" x14ac:dyDescent="0.25">
      <c r="A137" s="52"/>
      <c r="B137" s="55"/>
      <c r="C137" s="55"/>
      <c r="D137" s="60" t="s">
        <v>35</v>
      </c>
      <c r="E137" s="60"/>
      <c r="F137" s="60"/>
      <c r="H137" s="46">
        <f>F117+F118+F121+F122+F123+F125+F126+F127+F128+F129+F130+F131+F134+F139+F140+F142+F143+F144+F145+F146+F147+F148</f>
        <v>3532406</v>
      </c>
    </row>
    <row r="138" spans="1:8" ht="26.25" x14ac:dyDescent="0.25">
      <c r="A138" s="52"/>
      <c r="B138" s="55"/>
      <c r="C138" s="55"/>
      <c r="D138" s="36" t="s">
        <v>41</v>
      </c>
      <c r="E138" s="18" t="s">
        <v>15</v>
      </c>
      <c r="F138" s="25">
        <v>47</v>
      </c>
    </row>
    <row r="139" spans="1:8" x14ac:dyDescent="0.25">
      <c r="A139" s="52"/>
      <c r="B139" s="55"/>
      <c r="C139" s="55"/>
      <c r="D139" s="6" t="s">
        <v>26</v>
      </c>
      <c r="E139" s="7" t="s">
        <v>8</v>
      </c>
      <c r="F139" s="33">
        <f>76805+274661+76805</f>
        <v>428271</v>
      </c>
    </row>
    <row r="140" spans="1:8" x14ac:dyDescent="0.25">
      <c r="A140" s="52"/>
      <c r="B140" s="55"/>
      <c r="C140" s="55"/>
      <c r="D140" s="5" t="s">
        <v>27</v>
      </c>
      <c r="E140" s="7" t="s">
        <v>8</v>
      </c>
      <c r="F140" s="34">
        <f>23195+82948+23195</f>
        <v>129338</v>
      </c>
    </row>
    <row r="141" spans="1:8" x14ac:dyDescent="0.25">
      <c r="A141" s="52"/>
      <c r="B141" s="55"/>
      <c r="C141" s="55"/>
      <c r="D141" s="60" t="s">
        <v>36</v>
      </c>
      <c r="E141" s="60"/>
      <c r="F141" s="60"/>
    </row>
    <row r="142" spans="1:8" x14ac:dyDescent="0.25">
      <c r="A142" s="52"/>
      <c r="B142" s="55"/>
      <c r="C142" s="55"/>
      <c r="D142" s="26" t="s">
        <v>19</v>
      </c>
      <c r="E142" s="27" t="s">
        <v>8</v>
      </c>
      <c r="F142" s="2"/>
    </row>
    <row r="143" spans="1:8" x14ac:dyDescent="0.25">
      <c r="A143" s="52"/>
      <c r="B143" s="55"/>
      <c r="C143" s="55"/>
      <c r="D143" s="26" t="s">
        <v>50</v>
      </c>
      <c r="E143" s="27"/>
      <c r="F143" s="2"/>
    </row>
    <row r="144" spans="1:8" x14ac:dyDescent="0.25">
      <c r="A144" s="52"/>
      <c r="B144" s="55"/>
      <c r="C144" s="55"/>
      <c r="D144" s="26" t="s">
        <v>52</v>
      </c>
      <c r="E144" s="27"/>
      <c r="F144" s="2"/>
    </row>
    <row r="145" spans="1:6" ht="39" x14ac:dyDescent="0.25">
      <c r="A145" s="52"/>
      <c r="B145" s="55"/>
      <c r="C145" s="55"/>
      <c r="D145" s="26" t="s">
        <v>48</v>
      </c>
      <c r="E145" s="27"/>
      <c r="F145" s="2"/>
    </row>
    <row r="146" spans="1:6" x14ac:dyDescent="0.25">
      <c r="A146" s="52"/>
      <c r="B146" s="55"/>
      <c r="C146" s="55"/>
      <c r="D146" s="26" t="s">
        <v>62</v>
      </c>
      <c r="E146" s="10" t="s">
        <v>8</v>
      </c>
      <c r="F146" s="2">
        <v>2580001</v>
      </c>
    </row>
    <row r="147" spans="1:6" ht="26.25" x14ac:dyDescent="0.25">
      <c r="A147" s="52"/>
      <c r="B147" s="55"/>
      <c r="C147" s="55"/>
      <c r="D147" s="26" t="s">
        <v>49</v>
      </c>
      <c r="E147" s="10" t="s">
        <v>8</v>
      </c>
      <c r="F147" s="2"/>
    </row>
    <row r="148" spans="1:6" x14ac:dyDescent="0.25">
      <c r="A148" s="53"/>
      <c r="B148" s="56"/>
      <c r="C148" s="56"/>
      <c r="D148" s="26" t="s">
        <v>24</v>
      </c>
      <c r="E148" s="10" t="s">
        <v>8</v>
      </c>
      <c r="F148" s="2"/>
    </row>
    <row r="158" spans="1:6" x14ac:dyDescent="0.25">
      <c r="F158" s="43">
        <f>H32+H64+H94+H137</f>
        <v>34752973.43</v>
      </c>
    </row>
    <row r="161" spans="9:9" x14ac:dyDescent="0.25">
      <c r="I161" s="31" t="e">
        <f>#REF!+H137+H94+#REF!+#REF!+H64+H32</f>
        <v>#REF!</v>
      </c>
    </row>
  </sheetData>
  <mergeCells count="51">
    <mergeCell ref="D44:F44"/>
    <mergeCell ref="D45:F45"/>
    <mergeCell ref="D49:F49"/>
    <mergeCell ref="D71:F71"/>
    <mergeCell ref="A44:A78"/>
    <mergeCell ref="B44:B78"/>
    <mergeCell ref="C44:C78"/>
    <mergeCell ref="D50:F50"/>
    <mergeCell ref="D54:F54"/>
    <mergeCell ref="D63:F63"/>
    <mergeCell ref="D65:F65"/>
    <mergeCell ref="D67:F67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9:F19"/>
    <mergeCell ref="D28:F28"/>
    <mergeCell ref="D30:F30"/>
    <mergeCell ref="D32:F32"/>
    <mergeCell ref="D36:F36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D100:F100"/>
    <mergeCell ref="D102:F102"/>
    <mergeCell ref="D106:F106"/>
    <mergeCell ref="A114:A148"/>
    <mergeCell ref="B114:B148"/>
    <mergeCell ref="C114:C148"/>
    <mergeCell ref="D114:F114"/>
    <mergeCell ref="D115:F115"/>
    <mergeCell ref="D119:F119"/>
    <mergeCell ref="D120:F120"/>
    <mergeCell ref="D124:F124"/>
    <mergeCell ref="D133:F133"/>
    <mergeCell ref="D135:F135"/>
    <mergeCell ref="D137:F137"/>
    <mergeCell ref="D141:F141"/>
  </mergeCells>
  <pageMargins left="0.14000000000000001" right="0.15748031496062992" top="0.33" bottom="0.35433070866141736" header="0.31496062992125984" footer="0.31496062992125984"/>
  <pageSetup paperSize="9" scale="6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6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2.42578125" style="31" bestFit="1" customWidth="1"/>
    <col min="8" max="8" width="16.5703125" style="1" customWidth="1"/>
    <col min="9" max="9" width="11.42578125" style="1" bestFit="1" customWidth="1"/>
    <col min="10" max="10" width="10" style="1" bestFit="1" customWidth="1"/>
    <col min="11" max="11" width="14.8554687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69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1330697-843773</f>
        <v>486924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401870-254820</f>
        <v>147050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v>315498</v>
      </c>
      <c r="G16" s="1"/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5284824-32688.51-1000000-1000000</f>
        <v>3252135.49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v>28459</v>
      </c>
      <c r="G18" s="1"/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8120</v>
      </c>
      <c r="G20" s="1"/>
      <c r="H20" s="31">
        <f>F12+F13+F47+F48+F82+F83+F152+F153+F187+F188</f>
        <v>14840716</v>
      </c>
    </row>
    <row r="21" spans="1:8" x14ac:dyDescent="0.25">
      <c r="A21" s="67"/>
      <c r="B21" s="70"/>
      <c r="C21" s="70"/>
      <c r="D21" s="41" t="s">
        <v>44</v>
      </c>
      <c r="E21" s="41"/>
      <c r="F21" s="41">
        <v>12600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f>250000+15000</f>
        <v>265000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23520</v>
      </c>
      <c r="G23" s="1"/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175000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38000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6</v>
      </c>
      <c r="G29" s="1"/>
      <c r="H29" s="31">
        <f>F12+F13+F16+F17+F18+F20+F21+F22+F23+F24+F25+F26+F27+F29+F31+F34+F35+F37+F38+F39+F40+F41+F42+F43</f>
        <v>7318622.4900000002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628493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189805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200000+10000</f>
        <v>210000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1000000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f>50000+10000</f>
        <v>60000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f>35000+3500</f>
        <v>38500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f>332309+20000</f>
        <v>352309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39480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9301358-390797-1403327</f>
        <v>7507234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2809010-118021-423805</f>
        <v>2267184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200000+552122</f>
        <v>752122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300000+498443+333333</f>
        <v>1131776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f>30000+49804</f>
        <v>79804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14210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22050</v>
      </c>
      <c r="G56" s="1"/>
      <c r="H56" s="31">
        <f>F47+F48+F51+F52+F53+F55+F56+F57+F58+F59+F60+F61+F62+F64+F66+F69+F70+F72+F74+F75+F76+F77+F78</f>
        <v>13884232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f>160000+10000</f>
        <v>170000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41160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11760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56000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32000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1099864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332159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177309+15000</f>
        <v>192309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25000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4500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25000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69090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2285952-417445</f>
        <v>1868507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690358-126068</f>
        <v>564290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80000+135214</f>
        <v>215214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350000+122068+333333</f>
        <v>805401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f>30000+12197</f>
        <v>42197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3480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5400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10080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32000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269354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81345</v>
      </c>
      <c r="G105" s="1"/>
      <c r="H105" s="31">
        <f>F82+F83+F86+F87+F88+F90+F91+F92+F93+F94+F95+F96+F97+F99+F101+F104+F105+F107+F108+F109+F110+F111+F112+F113</f>
        <v>4883413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212309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>
        <v>130000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f>60000+3000</f>
        <v>63000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f>35000+1000</f>
        <v>36000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523030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16920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5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31">
        <f>F121+F122+F123+F127+F139+F140+F146</f>
        <v>2420208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57836+85977+53596</f>
        <v>197409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136213+195761+69518</f>
        <v>401492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ht="15.75" x14ac:dyDescent="0.25">
      <c r="A123" s="67"/>
      <c r="B123" s="76"/>
      <c r="C123" s="73"/>
      <c r="D123" s="8" t="s">
        <v>42</v>
      </c>
      <c r="E123" s="15" t="s">
        <v>20</v>
      </c>
      <c r="F123" s="16">
        <f>130+1322+1140</f>
        <v>2592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2" t="s">
        <v>43</v>
      </c>
      <c r="E125" s="42"/>
      <c r="F125" s="4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2" t="s">
        <v>44</v>
      </c>
      <c r="E126" s="42"/>
      <c r="F126" s="4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66556+96083+11000</f>
        <v>173639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40.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4489+45790+39505</f>
        <v>89784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11931+13829+1355</f>
        <v>27115</v>
      </c>
      <c r="G140" s="1"/>
      <c r="H140" s="1"/>
      <c r="I140" s="1"/>
      <c r="J140" s="1"/>
      <c r="K140" s="31" t="e">
        <f>#REF!+#REF!+H120</f>
        <v>#REF!</v>
      </c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76408+779371+672398</f>
        <v>1528177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1064889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321596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1532606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112213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33894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470846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142196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613042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 t="e">
        <f>H29+H56+H105+#REF!+#REF!+H120+H159+H197</f>
        <v>#REF!</v>
      </c>
    </row>
    <row r="226" spans="7:7" x14ac:dyDescent="0.25">
      <c r="G226" s="31">
        <f>H197+H159+H120+H105+H56+H29</f>
        <v>30652123.490000002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33:F133"/>
    <mergeCell ref="D135:F135"/>
    <mergeCell ref="D137:F137"/>
    <mergeCell ref="D141:F141"/>
    <mergeCell ref="D114:F114"/>
    <mergeCell ref="D115:F115"/>
    <mergeCell ref="D119:F119"/>
    <mergeCell ref="D120:F120"/>
    <mergeCell ref="D124:F124"/>
  </mergeCells>
  <pageMargins left="0.14000000000000001" right="0.15748031496062992" top="0.33" bottom="0.35433070866141736" header="0.31496062992125984" footer="0.31496062992125984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5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2.42578125" style="31" bestFit="1" customWidth="1"/>
    <col min="8" max="8" width="16.5703125" style="1" customWidth="1"/>
    <col min="9" max="10" width="12.42578125" style="1" bestFit="1" customWidth="1"/>
    <col min="11" max="11" width="5.5703125" style="1" customWidth="1"/>
    <col min="12" max="12" width="1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68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470649+4319152-1516876</f>
        <v>3272925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142136+1304384-458096</f>
        <v>988424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500000+44623+350000</f>
        <v>894623</v>
      </c>
      <c r="G16" s="1"/>
    </row>
    <row r="17" spans="1:10" x14ac:dyDescent="0.25">
      <c r="A17" s="67"/>
      <c r="B17" s="70"/>
      <c r="C17" s="70"/>
      <c r="D17" s="8" t="s">
        <v>3</v>
      </c>
      <c r="E17" s="15" t="s">
        <v>5</v>
      </c>
      <c r="F17" s="16"/>
      <c r="G17" s="1"/>
    </row>
    <row r="18" spans="1:10" ht="15.75" x14ac:dyDescent="0.25">
      <c r="A18" s="67"/>
      <c r="B18" s="70"/>
      <c r="C18" s="70"/>
      <c r="D18" s="8" t="s">
        <v>42</v>
      </c>
      <c r="E18" s="15" t="s">
        <v>20</v>
      </c>
      <c r="F18" s="16">
        <f>60000+22000</f>
        <v>82000</v>
      </c>
      <c r="G18" s="1"/>
      <c r="J18" s="31">
        <f>F12+F13+F47+F48+F82+F83++F152+F153+F187+F188</f>
        <v>14365356</v>
      </c>
    </row>
    <row r="19" spans="1:10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10" x14ac:dyDescent="0.25">
      <c r="A20" s="67"/>
      <c r="B20" s="70"/>
      <c r="C20" s="70"/>
      <c r="D20" s="41" t="s">
        <v>43</v>
      </c>
      <c r="E20" s="41"/>
      <c r="F20" s="41">
        <v>4284</v>
      </c>
      <c r="G20" s="1"/>
    </row>
    <row r="21" spans="1:10" x14ac:dyDescent="0.25">
      <c r="A21" s="67"/>
      <c r="B21" s="70"/>
      <c r="C21" s="70"/>
      <c r="D21" s="41" t="s">
        <v>44</v>
      </c>
      <c r="E21" s="41"/>
      <c r="F21" s="41">
        <v>12040</v>
      </c>
      <c r="G21" s="1"/>
    </row>
    <row r="22" spans="1:10" x14ac:dyDescent="0.25">
      <c r="A22" s="67"/>
      <c r="B22" s="70"/>
      <c r="C22" s="70"/>
      <c r="D22" s="17" t="s">
        <v>21</v>
      </c>
      <c r="E22" s="4" t="s">
        <v>22</v>
      </c>
      <c r="F22" s="23">
        <f>350000+10000</f>
        <v>360000</v>
      </c>
      <c r="G22" s="1"/>
    </row>
    <row r="23" spans="1:10" x14ac:dyDescent="0.25">
      <c r="A23" s="67"/>
      <c r="B23" s="70"/>
      <c r="C23" s="70"/>
      <c r="D23" s="17" t="s">
        <v>23</v>
      </c>
      <c r="E23" s="18" t="s">
        <v>16</v>
      </c>
      <c r="F23" s="10">
        <v>31080</v>
      </c>
      <c r="G23" s="1"/>
    </row>
    <row r="24" spans="1:10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10" x14ac:dyDescent="0.25">
      <c r="A25" s="67"/>
      <c r="B25" s="70"/>
      <c r="C25" s="70"/>
      <c r="D25" s="17" t="s">
        <v>24</v>
      </c>
      <c r="E25" s="18" t="s">
        <v>16</v>
      </c>
      <c r="F25" s="10">
        <v>186000</v>
      </c>
      <c r="G25" s="1"/>
    </row>
    <row r="26" spans="1:10" x14ac:dyDescent="0.25">
      <c r="A26" s="67"/>
      <c r="B26" s="70"/>
      <c r="C26" s="70"/>
      <c r="D26" s="17" t="s">
        <v>45</v>
      </c>
      <c r="E26" s="18" t="s">
        <v>16</v>
      </c>
      <c r="F26" s="10">
        <v>41000</v>
      </c>
      <c r="G26" s="1"/>
    </row>
    <row r="27" spans="1:10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10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10" x14ac:dyDescent="0.25">
      <c r="A29" s="67"/>
      <c r="B29" s="70"/>
      <c r="C29" s="70"/>
      <c r="D29" s="17" t="s">
        <v>9</v>
      </c>
      <c r="E29" s="19" t="s">
        <v>18</v>
      </c>
      <c r="F29" s="23">
        <v>9</v>
      </c>
      <c r="G29" s="1"/>
      <c r="H29" s="31">
        <f>F12+F13+F16+F18+F20+F21+F22+F23+F24+F25+F26+F27+F34+F35+F37+F39+F40+F41+F42+F43</f>
        <v>7338335.75</v>
      </c>
    </row>
    <row r="30" spans="1:10" x14ac:dyDescent="0.25">
      <c r="A30" s="67"/>
      <c r="B30" s="70"/>
      <c r="C30" s="70"/>
      <c r="D30" s="57" t="s">
        <v>33</v>
      </c>
      <c r="E30" s="58"/>
      <c r="F30" s="59"/>
      <c r="G30" s="1"/>
    </row>
    <row r="31" spans="1:10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10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790654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238778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80000+20000</f>
        <v>100000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f>50000+15000</f>
        <v>65000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f>50000+3500</f>
        <v>53500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f>119187.75+15000</f>
        <v>134187.75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36120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7844430-84192-2522803</f>
        <v>5237435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2369018-25426-761886</f>
        <v>1581706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309187.85+78089</f>
        <v>387276.85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600000+1072355</f>
        <v>1672355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f>80000+37877</f>
        <v>117877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7497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21070</v>
      </c>
      <c r="G56" s="1"/>
      <c r="H56" s="31">
        <f>F47+F48+F51+F52+F53+F55+F56+F57+F58+F59+F60+F61+F62+F64+F66+F69+F70+F72+F74+F75+F76+F77+F78</f>
        <v>11734593.85</v>
      </c>
      <c r="I56" s="31">
        <f>F47+F48+F51+F52+F53+F55+F56+F57+F58+F59+F60+F61+F62+F69+F70+F72+F74+F75+F76+F77+F78</f>
        <v>11734582.85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f>250000+10000</f>
        <v>260000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54390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11760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62000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32000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3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1383645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417861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100000+10000</f>
        <v>110000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f>60000+20000</f>
        <v>80000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f>60000+3500</f>
        <v>63500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f>100000+20000</f>
        <v>120000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63210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1925704-750454</f>
        <v>1175250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581562-226637</f>
        <v>354925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100000+19124</f>
        <v>119124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800000+262617</f>
        <v>1062617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f>75000+13320</f>
        <v>88320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1836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5160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>
        <v>229187.85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13320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28000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45000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5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338852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102333</v>
      </c>
      <c r="G105" s="1"/>
      <c r="H105" s="31">
        <f>F82+F83+F86+F87+F88+F90+F91+F92+F93+F94+F95+F96+F97+F99+F101+F104+F105+F107+F108+F109+F110+F111+F112+F113</f>
        <v>3940290.85</v>
      </c>
      <c r="I105" s="1"/>
      <c r="J105" s="31">
        <f>F82+F83+F86+F87+F88+F90+F91+F93+F94+F95+F104+F105+F109+F110+F111+F112+F113</f>
        <v>3566097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100000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f>35000+5000</f>
        <v>40000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51000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f>100000+5000</f>
        <v>105000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f>60000+15480</f>
        <v>75480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5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352433+57937+9455</f>
        <v>419825</v>
      </c>
      <c r="G121" s="1"/>
      <c r="H121" s="1"/>
      <c r="I121" s="1"/>
      <c r="J121" s="1"/>
      <c r="K121" s="1"/>
      <c r="L121" s="31" t="e">
        <f>#REF!+#REF!+H126</f>
        <v>#REF!</v>
      </c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12335+282318+552171.06</f>
        <v>846824.06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ht="15.75" x14ac:dyDescent="0.25">
      <c r="A123" s="67"/>
      <c r="B123" s="76"/>
      <c r="C123" s="73"/>
      <c r="D123" s="8" t="s">
        <v>42</v>
      </c>
      <c r="E123" s="15" t="s">
        <v>20</v>
      </c>
      <c r="F123" s="16">
        <f>81267+28968+9311</f>
        <v>119546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2" t="s">
        <v>43</v>
      </c>
      <c r="E125" s="42"/>
      <c r="F125" s="4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2" t="s">
        <v>44</v>
      </c>
      <c r="E126" s="42"/>
      <c r="F126" s="42"/>
      <c r="G126" s="1"/>
      <c r="H126" s="31">
        <f>F121+F122+F123+F127+F139+F140+F146</f>
        <v>2741542.06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16250+27750+191000</f>
        <v>235000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49698+57605+5648</f>
        <v>112951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1706+17397+15000</f>
        <v>34103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428254+496375+48664</f>
        <v>973293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ht="15" customHeight="1" x14ac:dyDescent="0.25">
      <c r="A150" s="67"/>
      <c r="B150" s="73"/>
      <c r="C150" s="73"/>
      <c r="D150" s="57" t="s">
        <v>29</v>
      </c>
      <c r="E150" s="58"/>
      <c r="F150" s="59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922292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278533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ht="15" customHeigh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1384665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2" t="s">
        <v>43</v>
      </c>
      <c r="E160" s="42"/>
      <c r="F160" s="4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2" t="s">
        <v>44</v>
      </c>
      <c r="E161" s="42"/>
      <c r="F161" s="4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57" t="s">
        <v>35</v>
      </c>
      <c r="E172" s="58"/>
      <c r="F172" s="59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141188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42638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57" t="s">
        <v>36</v>
      </c>
      <c r="E176" s="58"/>
      <c r="F176" s="59"/>
      <c r="G176" s="1"/>
      <c r="H176" s="1"/>
      <c r="I176" s="1"/>
      <c r="J176" s="1"/>
      <c r="K176" s="1"/>
      <c r="L176" s="31" t="e">
        <f>#REF!+#REF!+H126</f>
        <v>#REF!</v>
      </c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425396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128470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553866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/>
    </row>
    <row r="225" spans="6:7" x14ac:dyDescent="0.25">
      <c r="F225" s="43">
        <f>H197+H159+H126+H105+H56+H29</f>
        <v>27693293.509999998</v>
      </c>
      <c r="G225" s="31" t="e">
        <f>H197+H159+H126+#REF!+#REF!+H105+H56+H29</f>
        <v>#REF!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33:F133"/>
    <mergeCell ref="D135:F135"/>
    <mergeCell ref="D137:F137"/>
    <mergeCell ref="D141:F141"/>
    <mergeCell ref="D114:F114"/>
    <mergeCell ref="D115:F115"/>
    <mergeCell ref="D119:F119"/>
    <mergeCell ref="D120:F120"/>
    <mergeCell ref="D124:F124"/>
  </mergeCells>
  <pageMargins left="0.14000000000000001" right="0.15748031496062992" top="0.33" bottom="0.35433070866141736" header="0.31496062992125984" footer="0.31496062992125984"/>
  <pageSetup paperSize="9" scale="5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7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1.42578125" style="1" bestFit="1" customWidth="1"/>
    <col min="10" max="10" width="12.42578125" style="1" bestFit="1" customWidth="1"/>
    <col min="11" max="11" width="5.570312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67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2325096-868402</f>
        <v>1456694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702179-262258</f>
        <v>439921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500000+495023</f>
        <v>995023</v>
      </c>
      <c r="G16" s="1"/>
    </row>
    <row r="17" spans="1:10" x14ac:dyDescent="0.25">
      <c r="A17" s="67"/>
      <c r="B17" s="70"/>
      <c r="C17" s="70"/>
      <c r="D17" s="8" t="s">
        <v>3</v>
      </c>
      <c r="E17" s="15" t="s">
        <v>5</v>
      </c>
      <c r="F17" s="16"/>
      <c r="G17" s="1"/>
      <c r="J17" s="31">
        <f>F12+F13+F47+F48+F82+F83+F152+F153+F187+F188</f>
        <v>7270202</v>
      </c>
    </row>
    <row r="18" spans="1:10" ht="15.75" x14ac:dyDescent="0.25">
      <c r="A18" s="67"/>
      <c r="B18" s="70"/>
      <c r="C18" s="70"/>
      <c r="D18" s="8" t="s">
        <v>42</v>
      </c>
      <c r="E18" s="15" t="s">
        <v>20</v>
      </c>
      <c r="F18" s="16">
        <f>70000+6432</f>
        <v>76432</v>
      </c>
      <c r="G18" s="1"/>
    </row>
    <row r="19" spans="1:10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10" x14ac:dyDescent="0.25">
      <c r="A20" s="67"/>
      <c r="B20" s="70"/>
      <c r="C20" s="70"/>
      <c r="D20" s="41" t="s">
        <v>43</v>
      </c>
      <c r="E20" s="41"/>
      <c r="F20" s="41">
        <v>5320</v>
      </c>
      <c r="G20" s="1"/>
    </row>
    <row r="21" spans="1:10" x14ac:dyDescent="0.25">
      <c r="A21" s="67"/>
      <c r="B21" s="70"/>
      <c r="C21" s="70"/>
      <c r="D21" s="41" t="s">
        <v>44</v>
      </c>
      <c r="E21" s="41"/>
      <c r="F21" s="41">
        <v>5768</v>
      </c>
      <c r="G21" s="1"/>
    </row>
    <row r="22" spans="1:10" x14ac:dyDescent="0.25">
      <c r="A22" s="67"/>
      <c r="B22" s="70"/>
      <c r="C22" s="70"/>
      <c r="D22" s="17" t="s">
        <v>21</v>
      </c>
      <c r="E22" s="4" t="s">
        <v>22</v>
      </c>
      <c r="F22" s="23">
        <v>25000</v>
      </c>
      <c r="G22" s="1"/>
    </row>
    <row r="23" spans="1:10" x14ac:dyDescent="0.25">
      <c r="A23" s="67"/>
      <c r="B23" s="70"/>
      <c r="C23" s="70"/>
      <c r="D23" s="17" t="s">
        <v>23</v>
      </c>
      <c r="E23" s="18" t="s">
        <v>16</v>
      </c>
      <c r="F23" s="10">
        <v>5040</v>
      </c>
      <c r="G23" s="1"/>
    </row>
    <row r="24" spans="1:10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10" x14ac:dyDescent="0.25">
      <c r="A25" s="67"/>
      <c r="B25" s="70"/>
      <c r="C25" s="70"/>
      <c r="D25" s="17" t="s">
        <v>24</v>
      </c>
      <c r="E25" s="18" t="s">
        <v>16</v>
      </c>
      <c r="F25" s="10">
        <v>271216</v>
      </c>
      <c r="G25" s="1"/>
    </row>
    <row r="26" spans="1:10" x14ac:dyDescent="0.25">
      <c r="A26" s="67"/>
      <c r="B26" s="70"/>
      <c r="C26" s="70"/>
      <c r="D26" s="17" t="s">
        <v>45</v>
      </c>
      <c r="E26" s="18" t="s">
        <v>16</v>
      </c>
      <c r="F26" s="10">
        <v>40008</v>
      </c>
      <c r="G26" s="1"/>
    </row>
    <row r="27" spans="1:10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10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10" x14ac:dyDescent="0.25">
      <c r="A29" s="67"/>
      <c r="B29" s="70"/>
      <c r="C29" s="70"/>
      <c r="D29" s="17" t="s">
        <v>9</v>
      </c>
      <c r="E29" s="19" t="s">
        <v>18</v>
      </c>
      <c r="F29" s="23">
        <v>9</v>
      </c>
      <c r="G29" s="1"/>
      <c r="H29" s="31">
        <f>F12+F13+F16+F17+F18+F20+F21+F22+F23+F24+F25+F26+F27+F29+F31+F34+F35+F37+F38+F39+F40+F41+F42+F43</f>
        <v>4265339</v>
      </c>
    </row>
    <row r="30" spans="1:10" x14ac:dyDescent="0.25">
      <c r="A30" s="67"/>
      <c r="B30" s="70"/>
      <c r="C30" s="70"/>
      <c r="D30" s="57" t="s">
        <v>33</v>
      </c>
      <c r="E30" s="58"/>
      <c r="F30" s="59"/>
      <c r="G30" s="1"/>
    </row>
    <row r="31" spans="1:10" x14ac:dyDescent="0.25">
      <c r="A31" s="67"/>
      <c r="B31" s="70"/>
      <c r="C31" s="70"/>
      <c r="D31" s="20" t="s">
        <v>7</v>
      </c>
      <c r="E31" s="22" t="s">
        <v>25</v>
      </c>
      <c r="F31" s="23">
        <v>5</v>
      </c>
      <c r="G31" s="1"/>
    </row>
    <row r="32" spans="1:10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411523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124280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v>10000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10000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1500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250000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f>70000+19880</f>
        <v>89880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4442787-278557-1444290</f>
        <v>2719940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1341722-84124-304451</f>
        <v>953147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250000+866291</f>
        <v>1116291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v>11257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9310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10094</v>
      </c>
      <c r="G56" s="1"/>
      <c r="H56" s="31">
        <f>F47+F48+F51+F52+F53+F55+F56+F57+F58+F59+F60+F61+F62+F64+F66+F69+F70+F72+F74+F75+F76+F77+F78</f>
        <v>6498287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f>100000+65000</f>
        <v>165000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8820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11760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62000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37000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720165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217489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100000+25000</f>
        <v>125000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f>50000+20000</f>
        <v>70000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35000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80000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95000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1095677-429631</f>
        <v>666046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330894-129748</f>
        <v>201146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500000+212153</f>
        <v>712153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f>56370.31+2757</f>
        <v>59127.31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18000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2472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>
        <f>100000+55000</f>
        <v>155000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2160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32000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4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176367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53263</v>
      </c>
      <c r="G105" s="1"/>
      <c r="H105" s="31">
        <f>F82+F83+F86+F87+F88+F90+F91+F92+F93+F94+F95+F96+F97+F99+F101+F104+F105+F107+F108+F109+F110+F111+F112+F113</f>
        <v>2256119.31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f>60000+10000</f>
        <v>70000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25000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15000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2500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63000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5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502247+410558+5938</f>
        <v>918743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ht="32.25" customHeight="1" x14ac:dyDescent="0.25">
      <c r="A123" s="67"/>
      <c r="B123" s="76"/>
      <c r="C123" s="73"/>
      <c r="D123" s="8" t="s">
        <v>42</v>
      </c>
      <c r="E123" s="15" t="s">
        <v>20</v>
      </c>
      <c r="F123" s="16">
        <f>248+20523+37176</f>
        <v>57947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42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2" t="s">
        <v>43</v>
      </c>
      <c r="E125" s="42"/>
      <c r="F125" s="42"/>
      <c r="G125" s="1"/>
      <c r="H125" s="31">
        <f>F121+F123+F127+F139+F140+F146</f>
        <v>1979823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2" t="s">
        <v>44</v>
      </c>
      <c r="E126" s="42"/>
      <c r="F126" s="4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70000+72750+1250</f>
        <v>144000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17418+20189+1979</f>
        <v>39586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598+6097+5260</f>
        <v>11955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355341+411872+40379</f>
        <v>807592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392270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118465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806428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73486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222193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247753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74820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322573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 t="e">
        <f>H29+H56+H105+#REF!+#REF!+H125+H159+H197</f>
        <v>#REF!</v>
      </c>
    </row>
    <row r="226" spans="6:8" x14ac:dyDescent="0.25">
      <c r="F226" s="43">
        <f>H29+H56+H105+H125+H159+H197</f>
        <v>16128569.310000001</v>
      </c>
    </row>
    <row r="227" spans="6:8" x14ac:dyDescent="0.25">
      <c r="H227" s="31" t="e">
        <f>H29+H56+H105+#REF!+#REF!+H125+H159+H197</f>
        <v>#REF!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33:F133"/>
    <mergeCell ref="D135:F135"/>
    <mergeCell ref="D137:F137"/>
    <mergeCell ref="D141:F141"/>
    <mergeCell ref="D114:F114"/>
    <mergeCell ref="D115:F115"/>
    <mergeCell ref="D119:F119"/>
    <mergeCell ref="D120:F120"/>
    <mergeCell ref="D124:F124"/>
  </mergeCells>
  <pageMargins left="0.14000000000000001" right="0.15748031496062992" top="0.33" bottom="0.35433070866141736" header="0.31496062992125984" footer="0.31496062992125984"/>
  <pageSetup paperSize="9" scale="5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7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2.42578125" style="1" bestFit="1" customWidth="1"/>
    <col min="10" max="10" width="11.42578125" style="1" bestFit="1" customWidth="1"/>
    <col min="11" max="11" width="5.570312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66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4822321-1211688</f>
        <v>3610633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1456340-365930</f>
        <v>1090410</v>
      </c>
      <c r="G13" s="1"/>
      <c r="I13" s="31">
        <f>F12+F13++F47+F48+F82+F83+F152+F153+F187+F188</f>
        <v>16904863.940000001</v>
      </c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  <c r="I15" s="31">
        <f>F12+F13+F47+F48+F82+F83+F152+F153+F187+F188</f>
        <v>16904863.940000001</v>
      </c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v>143108</v>
      </c>
      <c r="G16" s="1"/>
    </row>
    <row r="17" spans="1:9" x14ac:dyDescent="0.25">
      <c r="A17" s="67"/>
      <c r="B17" s="70"/>
      <c r="C17" s="70"/>
      <c r="D17" s="8" t="s">
        <v>3</v>
      </c>
      <c r="E17" s="15" t="s">
        <v>5</v>
      </c>
      <c r="F17" s="16">
        <f>1000000+630728</f>
        <v>1630728</v>
      </c>
      <c r="G17" s="1"/>
      <c r="I17" s="1">
        <f>21106309.24-12384300</f>
        <v>8722009.2399999984</v>
      </c>
    </row>
    <row r="18" spans="1:9" ht="15.75" x14ac:dyDescent="0.25">
      <c r="A18" s="67"/>
      <c r="B18" s="70"/>
      <c r="C18" s="70"/>
      <c r="D18" s="8" t="s">
        <v>42</v>
      </c>
      <c r="E18" s="15" t="s">
        <v>20</v>
      </c>
      <c r="F18" s="16">
        <v>16212</v>
      </c>
      <c r="G18" s="1"/>
    </row>
    <row r="19" spans="1:9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9" x14ac:dyDescent="0.25">
      <c r="A20" s="67"/>
      <c r="B20" s="70"/>
      <c r="C20" s="70"/>
      <c r="D20" s="41" t="s">
        <v>43</v>
      </c>
      <c r="E20" s="41"/>
      <c r="F20" s="41">
        <v>4200</v>
      </c>
      <c r="G20" s="1"/>
    </row>
    <row r="21" spans="1:9" x14ac:dyDescent="0.25">
      <c r="A21" s="67"/>
      <c r="B21" s="70"/>
      <c r="C21" s="70"/>
      <c r="D21" s="41" t="s">
        <v>44</v>
      </c>
      <c r="E21" s="41"/>
      <c r="F21" s="41">
        <v>7000</v>
      </c>
      <c r="G21" s="1"/>
    </row>
    <row r="22" spans="1:9" x14ac:dyDescent="0.25">
      <c r="A22" s="67"/>
      <c r="B22" s="70"/>
      <c r="C22" s="70"/>
      <c r="D22" s="17" t="s">
        <v>21</v>
      </c>
      <c r="E22" s="4" t="s">
        <v>22</v>
      </c>
      <c r="F22" s="23">
        <v>25000</v>
      </c>
      <c r="G22" s="1"/>
    </row>
    <row r="23" spans="1:9" x14ac:dyDescent="0.25">
      <c r="A23" s="67"/>
      <c r="B23" s="70"/>
      <c r="C23" s="70"/>
      <c r="D23" s="17" t="s">
        <v>23</v>
      </c>
      <c r="E23" s="18" t="s">
        <v>16</v>
      </c>
      <c r="F23" s="10">
        <v>16000</v>
      </c>
      <c r="G23" s="1"/>
    </row>
    <row r="24" spans="1:9" ht="39" x14ac:dyDescent="0.25">
      <c r="A24" s="67"/>
      <c r="B24" s="70"/>
      <c r="C24" s="70"/>
      <c r="D24" s="38" t="s">
        <v>47</v>
      </c>
      <c r="E24" s="18" t="s">
        <v>16</v>
      </c>
      <c r="F24" s="10">
        <v>24000</v>
      </c>
      <c r="G24" s="1"/>
      <c r="H24" s="31">
        <f>F12+F13+F16+F17+F18+F20+F21+F22+F23+F24+F25+F26+F27+F34+F35+F37+F38+F39+F40+F41+F42+F43</f>
        <v>9523140</v>
      </c>
    </row>
    <row r="25" spans="1:9" x14ac:dyDescent="0.25">
      <c r="A25" s="67"/>
      <c r="B25" s="70"/>
      <c r="C25" s="70"/>
      <c r="D25" s="17" t="s">
        <v>24</v>
      </c>
      <c r="E25" s="18" t="s">
        <v>16</v>
      </c>
      <c r="F25" s="10">
        <v>271216</v>
      </c>
      <c r="G25" s="1"/>
    </row>
    <row r="26" spans="1:9" x14ac:dyDescent="0.25">
      <c r="A26" s="67"/>
      <c r="B26" s="70"/>
      <c r="C26" s="70"/>
      <c r="D26" s="17" t="s">
        <v>45</v>
      </c>
      <c r="E26" s="18" t="s">
        <v>16</v>
      </c>
      <c r="F26" s="10">
        <v>40008</v>
      </c>
      <c r="G26" s="1"/>
    </row>
    <row r="27" spans="1:9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9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9" x14ac:dyDescent="0.25">
      <c r="A29" s="67"/>
      <c r="B29" s="70"/>
      <c r="C29" s="70"/>
      <c r="D29" s="17" t="s">
        <v>9</v>
      </c>
      <c r="E29" s="19" t="s">
        <v>18</v>
      </c>
      <c r="F29" s="23">
        <v>9</v>
      </c>
      <c r="G29" s="1"/>
      <c r="H29" s="31">
        <f>F12+F13+F16+F17+F18+F20+F21+F22+F23+F24+F25+F26+F27+F29+F31+F34+F35+F37+F38+F39+F40+F41+F42+F43</f>
        <v>9523154</v>
      </c>
    </row>
    <row r="30" spans="1:9" x14ac:dyDescent="0.25">
      <c r="A30" s="67"/>
      <c r="B30" s="70"/>
      <c r="C30" s="70"/>
      <c r="D30" s="57" t="s">
        <v>33</v>
      </c>
      <c r="E30" s="58"/>
      <c r="F30" s="59"/>
      <c r="G30" s="1"/>
    </row>
    <row r="31" spans="1:9" x14ac:dyDescent="0.25">
      <c r="A31" s="67"/>
      <c r="B31" s="70"/>
      <c r="C31" s="70"/>
      <c r="D31" s="20" t="s">
        <v>7</v>
      </c>
      <c r="E31" s="22" t="s">
        <v>25</v>
      </c>
      <c r="F31" s="23">
        <v>5</v>
      </c>
      <c r="G31" s="1"/>
    </row>
    <row r="32" spans="1:9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939629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283768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1245488+15000</f>
        <v>1260488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20000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10000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3500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25000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15000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51240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8501996-892824-1.06-2015228</f>
        <v>5593942.9400000004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2567603-269633-608600</f>
        <v>1689370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500000+250439</f>
        <v>750439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500000+1103774</f>
        <v>1603774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v>28371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35000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25300</v>
      </c>
      <c r="G56" s="1"/>
      <c r="H56" s="31">
        <f>F47+F48+F51+F52+F53+F55+F56+F57+F58+F59+F60+F61+F62+F64+F66+F69+F70+F72+F74+F75+F76+F77+F78</f>
        <v>12175505.940000001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f>245488+25000</f>
        <v>270488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51000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24000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271216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41000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5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f>1818638-599421</f>
        <v>1219217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f>549229-181025</f>
        <v>368204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v>25000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25000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3500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89670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v>2188350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v>660882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500000+61332</f>
        <v>561332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500000+270312</f>
        <v>770312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v>6948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1800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3000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6720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f>245488+35000</f>
        <v>280488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4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402698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121615</v>
      </c>
      <c r="G105" s="1"/>
      <c r="H105" s="31">
        <f>F82+F83+F86+F87+F88+F90+F91+F92+F93+F94+F95+F96+F97+F99+F101+F104+F105+F107+F108+F109+F110+F111+F112+F113</f>
        <v>5286039.5999999996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5000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f>81829+5000-57.4</f>
        <v>86771.6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f>81829+1000</f>
        <v>82829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1000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2500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f>81829+21960</f>
        <v>103789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8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52247+60558+5939</f>
        <v>118744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ht="15.75" x14ac:dyDescent="0.25">
      <c r="A123" s="67"/>
      <c r="B123" s="76"/>
      <c r="C123" s="73"/>
      <c r="D123" s="8" t="s">
        <v>42</v>
      </c>
      <c r="E123" s="15" t="s">
        <v>20</v>
      </c>
      <c r="F123" s="16">
        <f>2523+2177+248</f>
        <v>4948</v>
      </c>
      <c r="G123" s="1"/>
      <c r="H123" s="31">
        <f>F121+F123+F127+F139+F140+F146</f>
        <v>2427498.54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1" t="s">
        <v>43</v>
      </c>
      <c r="E125" s="41"/>
      <c r="F125" s="4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1" t="s">
        <v>44</v>
      </c>
      <c r="E126" s="41"/>
      <c r="F126" s="4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15400+1750+1785+15400</f>
        <v>34335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31">
        <f>F121+F123+F127+F139+F140+F146</f>
        <v>2427498.54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47234+54749+5367</f>
        <v>107350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14265+14265+16534+1620</f>
        <v>46684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936776+1101874+106452-29664.46</f>
        <v>2115437.54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3.25" customHeight="1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ht="15" hidden="1" customHeigh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1105035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333721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1581302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109471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33061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485806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146714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632520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F223" s="43" t="e">
        <f>H29+H56+H105+H123+#REF!+#REF!+H159+H197</f>
        <v>#REF!</v>
      </c>
      <c r="H223" s="31">
        <f>H197+H159+H136+H105+H56+H29</f>
        <v>31626020.080000002</v>
      </c>
    </row>
    <row r="225" spans="6:8" x14ac:dyDescent="0.25">
      <c r="F225" s="35">
        <v>31626019.539999999</v>
      </c>
      <c r="H225" s="31" t="e">
        <f>H29+H56+H105+#REF!+H159+H197</f>
        <v>#REF!</v>
      </c>
    </row>
    <row r="227" spans="6:8" x14ac:dyDescent="0.25">
      <c r="F227" s="43">
        <f>H197+H136+H105+H56+H29</f>
        <v>30044718.080000002</v>
      </c>
      <c r="H227" s="31">
        <f>H197+H159+H136+H105+H56+H29</f>
        <v>31626020.080000002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24:F124"/>
    <mergeCell ref="D133:F133"/>
    <mergeCell ref="D135:F135"/>
    <mergeCell ref="D137:F137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114:F114"/>
    <mergeCell ref="D115:F115"/>
    <mergeCell ref="D119:F119"/>
    <mergeCell ref="D120:F120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</mergeCells>
  <pageMargins left="0.14000000000000001" right="0.15748031496062992" top="0.33" bottom="0.35433070866141736" header="0.31496062992125984" footer="0.31496062992125984"/>
  <pageSetup paperSize="9" scale="5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6"/>
  <sheetViews>
    <sheetView tabSelected="1"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23.57031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8.140625" style="1" customWidth="1"/>
    <col min="10" max="10" width="10" style="1" bestFit="1" customWidth="1"/>
    <col min="11" max="11" width="21.8554687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26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26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26" hidden="1" x14ac:dyDescent="0.25">
      <c r="A3" s="11"/>
      <c r="B3" s="11"/>
      <c r="C3" s="11"/>
      <c r="D3" s="11"/>
      <c r="E3" s="11"/>
      <c r="F3" s="32"/>
    </row>
    <row r="4" spans="1:26" x14ac:dyDescent="0.25">
      <c r="A4" s="11"/>
      <c r="B4" s="11"/>
      <c r="C4" s="11"/>
      <c r="D4" s="11"/>
      <c r="E4" s="11"/>
      <c r="F4" s="32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54.75" customHeight="1" x14ac:dyDescent="0.25">
      <c r="A5" s="62" t="s">
        <v>57</v>
      </c>
      <c r="B5" s="62"/>
      <c r="C5" s="62"/>
      <c r="D5" s="62"/>
      <c r="E5" s="62"/>
      <c r="F5" s="62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</row>
    <row r="6" spans="1:26" ht="13.5" customHeight="1" x14ac:dyDescent="0.25">
      <c r="A6" s="11"/>
      <c r="B6" s="11"/>
      <c r="C6" s="11" t="s">
        <v>64</v>
      </c>
      <c r="D6" s="11"/>
      <c r="E6" s="11"/>
      <c r="F6" s="32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26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26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26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26" x14ac:dyDescent="0.25">
      <c r="A10" s="67"/>
      <c r="B10" s="70"/>
      <c r="C10" s="70"/>
      <c r="D10" s="60" t="s">
        <v>29</v>
      </c>
      <c r="E10" s="60"/>
      <c r="F10" s="6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26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26" x14ac:dyDescent="0.25">
      <c r="A12" s="67"/>
      <c r="B12" s="70"/>
      <c r="C12" s="70"/>
      <c r="D12" s="6" t="s">
        <v>26</v>
      </c>
      <c r="E12" s="7" t="s">
        <v>8</v>
      </c>
      <c r="F12" s="33">
        <f>1582409+1594978-1388431</f>
        <v>1788956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26" x14ac:dyDescent="0.25">
      <c r="A13" s="67"/>
      <c r="B13" s="70"/>
      <c r="C13" s="70"/>
      <c r="D13" s="5" t="s">
        <v>27</v>
      </c>
      <c r="E13" s="7" t="s">
        <v>8</v>
      </c>
      <c r="F13" s="34">
        <f>477888+481683-419306</f>
        <v>540265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</row>
    <row r="14" spans="1:26" x14ac:dyDescent="0.25">
      <c r="A14" s="67"/>
      <c r="B14" s="70"/>
      <c r="C14" s="70"/>
      <c r="D14" s="57" t="s">
        <v>30</v>
      </c>
      <c r="E14" s="58"/>
      <c r="F14" s="59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</row>
    <row r="15" spans="1:26" x14ac:dyDescent="0.25">
      <c r="A15" s="67"/>
      <c r="B15" s="70"/>
      <c r="C15" s="70"/>
      <c r="D15" s="60" t="s">
        <v>31</v>
      </c>
      <c r="E15" s="60"/>
      <c r="F15" s="60"/>
      <c r="G15"/>
      <c r="H15"/>
      <c r="I15" s="31">
        <f>F12+F13+F47+F48+F82+F83+F152+F153+F187+F188-12133989</f>
        <v>-484860.5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</row>
    <row r="16" spans="1:26" x14ac:dyDescent="0.25">
      <c r="A16" s="67"/>
      <c r="B16" s="70"/>
      <c r="C16" s="70"/>
      <c r="D16" s="8" t="s">
        <v>6</v>
      </c>
      <c r="E16" s="15" t="s">
        <v>2</v>
      </c>
      <c r="F16" s="16">
        <f>3000+775933+1130662</f>
        <v>1909595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</row>
    <row r="17" spans="1:26" x14ac:dyDescent="0.25">
      <c r="A17" s="67"/>
      <c r="B17" s="70"/>
      <c r="C17" s="70"/>
      <c r="D17" s="8" t="s">
        <v>3</v>
      </c>
      <c r="E17" s="15" t="s">
        <v>5</v>
      </c>
      <c r="F17" s="16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</row>
    <row r="18" spans="1:26" ht="15.75" x14ac:dyDescent="0.25">
      <c r="A18" s="67"/>
      <c r="B18" s="70"/>
      <c r="C18" s="70"/>
      <c r="D18" s="8" t="s">
        <v>42</v>
      </c>
      <c r="E18" s="15" t="s">
        <v>20</v>
      </c>
      <c r="F18" s="16">
        <v>26460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</row>
    <row r="19" spans="1:26" ht="34.5" customHeight="1" x14ac:dyDescent="0.25">
      <c r="A19" s="67"/>
      <c r="B19" s="70"/>
      <c r="C19" s="70"/>
      <c r="D19" s="57" t="s">
        <v>32</v>
      </c>
      <c r="E19" s="58"/>
      <c r="F19" s="59"/>
      <c r="G19"/>
      <c r="H19" s="31">
        <f>F12+F13+F16+F18+F20+F21+F22+F23+F24+F25+F26+F27+F34+F35+F37+F38+F39+F40+F41+F42+F43</f>
        <v>5960945</v>
      </c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 s="67"/>
      <c r="B20" s="70"/>
      <c r="C20" s="70"/>
      <c r="D20" s="37" t="s">
        <v>43</v>
      </c>
      <c r="E20" s="37"/>
      <c r="F20" s="37">
        <v>50004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 s="67"/>
      <c r="B21" s="70"/>
      <c r="C21" s="70"/>
      <c r="D21" s="37" t="s">
        <v>44</v>
      </c>
      <c r="E21" s="37"/>
      <c r="F21" s="37">
        <v>86364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 s="67"/>
      <c r="B22" s="70"/>
      <c r="C22" s="70"/>
      <c r="D22" s="17" t="s">
        <v>21</v>
      </c>
      <c r="E22" s="4" t="s">
        <v>22</v>
      </c>
      <c r="F22" s="23">
        <f>60610+25000</f>
        <v>85610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 s="67"/>
      <c r="B23" s="70"/>
      <c r="C23" s="70"/>
      <c r="D23" s="17" t="s">
        <v>23</v>
      </c>
      <c r="E23" s="18" t="s">
        <v>16</v>
      </c>
      <c r="F23" s="10">
        <v>88800</v>
      </c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ht="39" x14ac:dyDescent="0.25">
      <c r="A24" s="67"/>
      <c r="B24" s="70"/>
      <c r="C24" s="70"/>
      <c r="D24" s="38" t="s">
        <v>47</v>
      </c>
      <c r="E24" s="18" t="s">
        <v>16</v>
      </c>
      <c r="F24" s="10">
        <v>24000</v>
      </c>
      <c r="G24"/>
      <c r="H24"/>
      <c r="I24"/>
      <c r="J24"/>
      <c r="K24" s="31">
        <f>F12+F13+F47+F48+F82+F83+F152+F153+F187+F188</f>
        <v>11649128.5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 s="67"/>
      <c r="B25" s="70"/>
      <c r="C25" s="70"/>
      <c r="D25" s="17" t="s">
        <v>24</v>
      </c>
      <c r="E25" s="18" t="s">
        <v>16</v>
      </c>
      <c r="F25" s="10">
        <v>271216</v>
      </c>
      <c r="G25"/>
      <c r="H25"/>
      <c r="I25"/>
      <c r="J25"/>
      <c r="K25" s="31">
        <f>F12+F13++F47+F48+F82+F83+F152+F153+F187+F188</f>
        <v>11649128.5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 s="67"/>
      <c r="B26" s="70"/>
      <c r="C26" s="70"/>
      <c r="D26" s="17" t="s">
        <v>45</v>
      </c>
      <c r="E26" s="18" t="s">
        <v>16</v>
      </c>
      <c r="F26" s="10">
        <v>40008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ht="29.25" customHeight="1" x14ac:dyDescent="0.25">
      <c r="A28" s="67"/>
      <c r="B28" s="70"/>
      <c r="C28" s="70"/>
      <c r="D28" s="57" t="s">
        <v>34</v>
      </c>
      <c r="E28" s="58"/>
      <c r="F28" s="59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 s="67"/>
      <c r="B29" s="70"/>
      <c r="C29" s="70"/>
      <c r="D29" s="17" t="s">
        <v>9</v>
      </c>
      <c r="E29" s="19" t="s">
        <v>18</v>
      </c>
      <c r="F29" s="23">
        <v>9</v>
      </c>
      <c r="G29"/>
      <c r="H29" s="31">
        <f>F12+F13+F16+F17+F18+F20+F21+F22+F23+F24+F25+F26+F27+F29+F31+F34+F35+F37+F38+F39+F40+F41+F42+F43</f>
        <v>5960959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 s="67"/>
      <c r="B30" s="70"/>
      <c r="C30" s="70"/>
      <c r="D30" s="57" t="s">
        <v>33</v>
      </c>
      <c r="E30" s="58"/>
      <c r="F30" s="59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 s="67"/>
      <c r="B31" s="70"/>
      <c r="C31" s="70"/>
      <c r="D31" s="20" t="s">
        <v>7</v>
      </c>
      <c r="E31" s="22" t="s">
        <v>25</v>
      </c>
      <c r="F31" s="23">
        <v>5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30" customHeight="1" x14ac:dyDescent="0.25">
      <c r="A32" s="67"/>
      <c r="B32" s="70"/>
      <c r="C32" s="70"/>
      <c r="D32" s="60" t="s">
        <v>35</v>
      </c>
      <c r="E32" s="60"/>
      <c r="F32" s="60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602874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182068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26" x14ac:dyDescent="0.25">
      <c r="A36" s="67"/>
      <c r="B36" s="70"/>
      <c r="C36" s="70"/>
      <c r="D36" s="60" t="s">
        <v>36</v>
      </c>
      <c r="E36" s="60"/>
      <c r="F36" s="60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121219+12893</f>
        <v>134112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</row>
    <row r="38" spans="1:26" x14ac:dyDescent="0.25">
      <c r="A38" s="67"/>
      <c r="B38" s="70"/>
      <c r="C38" s="70"/>
      <c r="D38" s="26" t="s">
        <v>50</v>
      </c>
      <c r="E38" s="27"/>
      <c r="F38" s="29">
        <v>18333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</row>
    <row r="39" spans="1:26" ht="26.25" x14ac:dyDescent="0.25">
      <c r="A39" s="67"/>
      <c r="B39" s="70"/>
      <c r="C39" s="70"/>
      <c r="D39" s="26" t="s">
        <v>51</v>
      </c>
      <c r="E39" s="27"/>
      <c r="F39" s="29">
        <v>4500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</row>
    <row r="40" spans="1:26" ht="39" x14ac:dyDescent="0.25">
      <c r="A40" s="67"/>
      <c r="B40" s="70"/>
      <c r="C40" s="70"/>
      <c r="D40" s="26" t="s">
        <v>48</v>
      </c>
      <c r="E40" s="27"/>
      <c r="F40" s="29">
        <v>3500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25000</v>
      </c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15000</v>
      </c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28280</v>
      </c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6061823-1276554</f>
        <v>4785269</v>
      </c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1830670-385519</f>
        <v>1445151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1377728-345141.99+1130662</f>
        <v>2163248.0099999998</v>
      </c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v>26460</v>
      </c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1:26" s="3" customFormat="1" x14ac:dyDescent="0.25">
      <c r="A55" s="67"/>
      <c r="B55" s="73"/>
      <c r="C55" s="73"/>
      <c r="D55" s="37" t="s">
        <v>43</v>
      </c>
      <c r="E55" s="37"/>
      <c r="F55" s="37">
        <v>35000</v>
      </c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</row>
    <row r="56" spans="1:26" s="3" customFormat="1" x14ac:dyDescent="0.25">
      <c r="A56" s="67"/>
      <c r="B56" s="73"/>
      <c r="C56" s="73"/>
      <c r="D56" s="37" t="s">
        <v>44</v>
      </c>
      <c r="E56" s="37"/>
      <c r="F56" s="37">
        <v>25300</v>
      </c>
      <c r="G56"/>
      <c r="H56" s="31">
        <f>F47+F48+F51+F52+F53+F55+F56+F57+F58+F59+F60+F61+F62+F64+F66+F69+F70+F72+F74+F75+F76+F77+F78</f>
        <v>10434025.01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v>25000</v>
      </c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51000</v>
      </c>
      <c r="G58"/>
      <c r="H58" s="31">
        <f>F47+F48+F51+F53+F55+F56+F57+F58+F59+F60+F61+F62+F69+F70+F72+F74+F75+F76+F77+F78</f>
        <v>10434011.01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24000</v>
      </c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271216</v>
      </c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41000</v>
      </c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9</v>
      </c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5</v>
      </c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1055029</v>
      </c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318619</v>
      </c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12219+15000</f>
        <v>27219</v>
      </c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</row>
    <row r="73" spans="1:26" s="3" customFormat="1" x14ac:dyDescent="0.25">
      <c r="A73" s="67"/>
      <c r="B73" s="73"/>
      <c r="C73" s="73"/>
      <c r="D73" s="26" t="s">
        <v>50</v>
      </c>
      <c r="E73" s="27"/>
      <c r="F73" s="29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25000</v>
      </c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3500</v>
      </c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10000</v>
      </c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51000</v>
      </c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1553498.5-312625</f>
        <v>1240873.5</v>
      </c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469157-94413</f>
        <v>374744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317422+1130662</f>
        <v>1448084</v>
      </c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v>26460</v>
      </c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/>
      <c r="H89" s="31">
        <f>F82+F83+F86+F88+F93+F95+F96+F104+F105+F107+F109+F110+F111+F112+F113</f>
        <v>3672392.5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</row>
    <row r="90" spans="1:26" s="3" customFormat="1" x14ac:dyDescent="0.25">
      <c r="A90" s="67"/>
      <c r="B90" s="73"/>
      <c r="C90" s="73"/>
      <c r="D90" s="37" t="s">
        <v>43</v>
      </c>
      <c r="E90" s="37"/>
      <c r="F90" s="37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</row>
    <row r="91" spans="1:26" s="3" customFormat="1" x14ac:dyDescent="0.25">
      <c r="A91" s="67"/>
      <c r="B91" s="73"/>
      <c r="C91" s="73"/>
      <c r="D91" s="37" t="s">
        <v>44</v>
      </c>
      <c r="E91" s="37"/>
      <c r="F91" s="37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7000</v>
      </c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15000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60609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4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258374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78029</v>
      </c>
      <c r="G105"/>
      <c r="H105" s="31">
        <f>F82+F83+F86+F87+F88+F90+F91+F92+F93+F94+F95+F96+F97+F99+F101+F104+F105+F107+F108+F109+F110+F111+F112+F113</f>
        <v>3672397.5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f>121219+3000</f>
        <v>124219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4500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1000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1000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2500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30000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 s="3" customFormat="1" ht="44.25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48418+165121+5503</f>
        <v>219042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 s="3" customFormat="1" ht="15.75" x14ac:dyDescent="0.25">
      <c r="A123" s="67"/>
      <c r="B123" s="76"/>
      <c r="C123" s="73"/>
      <c r="D123" s="8" t="s">
        <v>42</v>
      </c>
      <c r="E123" s="15" t="s">
        <v>20</v>
      </c>
      <c r="F123" s="16">
        <f>230+2338+2017</f>
        <v>4585</v>
      </c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 s="3" customFormat="1" x14ac:dyDescent="0.25">
      <c r="A125" s="67"/>
      <c r="B125" s="76"/>
      <c r="C125" s="73"/>
      <c r="D125" s="37" t="s">
        <v>43</v>
      </c>
      <c r="E125" s="37"/>
      <c r="F125" s="37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 s="3" customFormat="1" x14ac:dyDescent="0.25">
      <c r="A126" s="67"/>
      <c r="B126" s="76"/>
      <c r="C126" s="73"/>
      <c r="D126" s="37" t="s">
        <v>44</v>
      </c>
      <c r="E126" s="37"/>
      <c r="F126" s="37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11000+12750+1250</f>
        <v>25000</v>
      </c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/>
      <c r="H136" s="31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29446+34132+3346</f>
        <v>66924</v>
      </c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8893+10307+1011</f>
        <v>20211</v>
      </c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/>
      <c r="H144" s="31">
        <f>F139+F140+F121+F123+F127+F146</f>
        <v>1376456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457906+530754+52034</f>
        <v>1040694</v>
      </c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f>775418-107655+110050</f>
        <v>777813</v>
      </c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f>234176-32511+33235</f>
        <v>234900</v>
      </c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/>
      <c r="H159" s="31">
        <f>F152+F153+F156+F157+F158+F160+F161+F162+F163+F164+F165+F166+F167+F169+F171+F174+F175+F177+F178+F179+F180+F181+F182+F183</f>
        <v>1152895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 s="3" customFormat="1" x14ac:dyDescent="0.25">
      <c r="A160" s="67"/>
      <c r="B160" s="73"/>
      <c r="C160" s="73"/>
      <c r="D160" s="37" t="s">
        <v>43</v>
      </c>
      <c r="E160" s="37"/>
      <c r="F160" s="37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 s="3" customFormat="1" x14ac:dyDescent="0.25">
      <c r="A161" s="67"/>
      <c r="B161" s="73"/>
      <c r="C161" s="73"/>
      <c r="D161" s="37" t="s">
        <v>44</v>
      </c>
      <c r="E161" s="37"/>
      <c r="F161" s="37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/>
      <c r="H172"/>
      <c r="I17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/>
      <c r="H173"/>
      <c r="I17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107656</v>
      </c>
      <c r="G174"/>
      <c r="H174"/>
      <c r="I17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32512</v>
      </c>
      <c r="G175"/>
      <c r="H175"/>
      <c r="I17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/>
      <c r="H176"/>
      <c r="I17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/>
      <c r="H177"/>
      <c r="I177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/>
      <c r="H178"/>
      <c r="I17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/>
      <c r="H179"/>
      <c r="I179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/>
      <c r="H180"/>
      <c r="I180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/>
      <c r="H181"/>
      <c r="I18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/>
      <c r="H182"/>
      <c r="I18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/>
      <c r="H183"/>
      <c r="I18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/>
      <c r="H184"/>
      <c r="I18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/>
      <c r="H185"/>
      <c r="I18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/>
      <c r="H186"/>
      <c r="I18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354191</v>
      </c>
      <c r="G187"/>
      <c r="H187"/>
      <c r="I187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106966</v>
      </c>
      <c r="G188"/>
      <c r="H188">
        <f>140/461157</f>
        <v>3.0358424571241463E-4</v>
      </c>
      <c r="I18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/>
      <c r="H189"/>
      <c r="I189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/>
      <c r="H190"/>
      <c r="I190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/>
      <c r="H191"/>
      <c r="I19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/>
      <c r="H192"/>
      <c r="I19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/>
      <c r="H193"/>
      <c r="I19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/>
      <c r="H194"/>
      <c r="I19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37" t="s">
        <v>43</v>
      </c>
      <c r="E195" s="37"/>
      <c r="F195" s="37"/>
      <c r="G195"/>
      <c r="H195"/>
      <c r="I19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37" t="s">
        <v>44</v>
      </c>
      <c r="E196" s="37"/>
      <c r="F196" s="37"/>
      <c r="G196"/>
      <c r="H196"/>
      <c r="I19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/>
      <c r="H197" s="31">
        <f>F187+F188</f>
        <v>461157</v>
      </c>
      <c r="I197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/>
      <c r="H198"/>
      <c r="I19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/>
      <c r="H199"/>
      <c r="I199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/>
      <c r="H200"/>
      <c r="I200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/>
      <c r="H201"/>
      <c r="I20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/>
      <c r="H202"/>
      <c r="I20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/>
      <c r="H203"/>
      <c r="I20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/>
      <c r="H204"/>
      <c r="I20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/>
      <c r="H205"/>
      <c r="I20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/>
      <c r="H206"/>
      <c r="I20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/>
      <c r="H207"/>
      <c r="I207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/>
      <c r="H208"/>
      <c r="I20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/>
      <c r="H209"/>
      <c r="I209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/>
      <c r="H210"/>
      <c r="I210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/>
      <c r="H211"/>
      <c r="I21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/>
      <c r="H212"/>
      <c r="I21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/>
      <c r="H213"/>
      <c r="I21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/>
      <c r="H214"/>
      <c r="I21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/>
      <c r="H215"/>
      <c r="I21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/>
      <c r="H216"/>
      <c r="I21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/>
      <c r="H217"/>
      <c r="I217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/>
      <c r="H218"/>
      <c r="I21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/>
      <c r="H219"/>
      <c r="I219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>
        <f>H197+H159+H136+H105+H56+H29</f>
        <v>21681433.509999998</v>
      </c>
    </row>
    <row r="225" spans="5:8" x14ac:dyDescent="0.25">
      <c r="E225" s="1">
        <v>23057875.510000002</v>
      </c>
    </row>
    <row r="226" spans="5:8" x14ac:dyDescent="0.25">
      <c r="E226" s="31" t="e">
        <f>H19+H56+H105+H144+#REF!+#REF!+H159+H197</f>
        <v>#REF!</v>
      </c>
      <c r="H226" s="31">
        <f>H29+H58+H105+H144+H159+H197</f>
        <v>23057875.509999998</v>
      </c>
    </row>
  </sheetData>
  <mergeCells count="75">
    <mergeCell ref="E1:F1"/>
    <mergeCell ref="E2:F2"/>
    <mergeCell ref="A5:F5"/>
    <mergeCell ref="D9:F9"/>
    <mergeCell ref="D10:F10"/>
    <mergeCell ref="D14:F14"/>
    <mergeCell ref="D15:F15"/>
    <mergeCell ref="A9:A43"/>
    <mergeCell ref="D67:F67"/>
    <mergeCell ref="D71:F71"/>
    <mergeCell ref="B9:B43"/>
    <mergeCell ref="B44:B78"/>
    <mergeCell ref="C44:C78"/>
    <mergeCell ref="A44:A78"/>
    <mergeCell ref="C9:C43"/>
    <mergeCell ref="D19:F19"/>
    <mergeCell ref="D28:F28"/>
    <mergeCell ref="D30:F30"/>
    <mergeCell ref="D32:F32"/>
    <mergeCell ref="D36:F36"/>
    <mergeCell ref="D80:F80"/>
    <mergeCell ref="D84:F84"/>
    <mergeCell ref="D85:F85"/>
    <mergeCell ref="D79:F79"/>
    <mergeCell ref="D44:F44"/>
    <mergeCell ref="D45:F45"/>
    <mergeCell ref="D49:F49"/>
    <mergeCell ref="D50:F50"/>
    <mergeCell ref="D54:F54"/>
    <mergeCell ref="D63:F63"/>
    <mergeCell ref="D65:F65"/>
    <mergeCell ref="D137:F137"/>
    <mergeCell ref="D89:F89"/>
    <mergeCell ref="D98:F98"/>
    <mergeCell ref="D100:F100"/>
    <mergeCell ref="D102:F102"/>
    <mergeCell ref="D106:F106"/>
    <mergeCell ref="D115:F115"/>
    <mergeCell ref="D114:F114"/>
    <mergeCell ref="D119:F119"/>
    <mergeCell ref="D120:F120"/>
    <mergeCell ref="D124:F124"/>
    <mergeCell ref="D133:F133"/>
    <mergeCell ref="D135:F135"/>
    <mergeCell ref="D185:F185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D172:F172"/>
    <mergeCell ref="D176:F176"/>
    <mergeCell ref="D184:F184"/>
    <mergeCell ref="D212:F212"/>
    <mergeCell ref="D189:F189"/>
    <mergeCell ref="D190:F190"/>
    <mergeCell ref="D194:F194"/>
    <mergeCell ref="D203:F203"/>
    <mergeCell ref="D205:F205"/>
    <mergeCell ref="D207:F207"/>
    <mergeCell ref="A184:A219"/>
    <mergeCell ref="B184:B219"/>
    <mergeCell ref="C184:C219"/>
    <mergeCell ref="A79:A113"/>
    <mergeCell ref="B79:B113"/>
    <mergeCell ref="C79:C113"/>
    <mergeCell ref="A114:A148"/>
    <mergeCell ref="B114:B148"/>
    <mergeCell ref="C114:C148"/>
    <mergeCell ref="A149:A183"/>
    <mergeCell ref="B149:B183"/>
    <mergeCell ref="C149:C183"/>
  </mergeCells>
  <pageMargins left="0.14000000000000001" right="0.15748031496062992" top="0.33" bottom="0.35433070866141736" header="0.31496062992125984" footer="0.31496062992125984"/>
  <pageSetup paperSize="9" scale="4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4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3.140625" style="1" customWidth="1"/>
    <col min="9" max="9" width="12.42578125" style="1" bestFit="1" customWidth="1"/>
    <col min="10" max="10" width="10" style="1" bestFit="1" customWidth="1"/>
    <col min="11" max="11" width="1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61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51" t="s">
        <v>60</v>
      </c>
      <c r="B9" s="63" t="s">
        <v>98</v>
      </c>
      <c r="C9" s="63" t="s">
        <v>55</v>
      </c>
      <c r="D9" s="57" t="s">
        <v>28</v>
      </c>
      <c r="E9" s="58"/>
      <c r="F9" s="59"/>
      <c r="G9" s="1"/>
    </row>
    <row r="10" spans="1:12" ht="15" customHeight="1" x14ac:dyDescent="0.25">
      <c r="A10" s="52"/>
      <c r="B10" s="64"/>
      <c r="C10" s="64"/>
      <c r="D10" s="60" t="s">
        <v>29</v>
      </c>
      <c r="E10" s="60"/>
      <c r="F10" s="60"/>
      <c r="G10" s="1"/>
    </row>
    <row r="11" spans="1:12" x14ac:dyDescent="0.25">
      <c r="A11" s="52"/>
      <c r="B11" s="64"/>
      <c r="C11" s="64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52"/>
      <c r="B12" s="64"/>
      <c r="C12" s="64"/>
      <c r="D12" s="6" t="s">
        <v>26</v>
      </c>
      <c r="E12" s="7" t="s">
        <v>8</v>
      </c>
      <c r="F12" s="33">
        <f>431988+535896</f>
        <v>967884</v>
      </c>
      <c r="G12" s="1"/>
    </row>
    <row r="13" spans="1:12" x14ac:dyDescent="0.25">
      <c r="A13" s="52"/>
      <c r="B13" s="64"/>
      <c r="C13" s="64"/>
      <c r="D13" s="5" t="s">
        <v>27</v>
      </c>
      <c r="E13" s="7" t="s">
        <v>8</v>
      </c>
      <c r="F13" s="34">
        <f>130461+161841</f>
        <v>292302</v>
      </c>
      <c r="G13" s="1"/>
    </row>
    <row r="14" spans="1:12" ht="15" customHeight="1" x14ac:dyDescent="0.25">
      <c r="A14" s="52"/>
      <c r="B14" s="64"/>
      <c r="C14" s="64"/>
      <c r="D14" s="57" t="s">
        <v>30</v>
      </c>
      <c r="E14" s="58"/>
      <c r="F14" s="59"/>
      <c r="G14" s="1"/>
      <c r="H14" s="31"/>
    </row>
    <row r="15" spans="1:12" x14ac:dyDescent="0.25">
      <c r="A15" s="52"/>
      <c r="B15" s="64"/>
      <c r="C15" s="64"/>
      <c r="D15" s="60" t="s">
        <v>31</v>
      </c>
      <c r="E15" s="60"/>
      <c r="F15" s="60"/>
      <c r="G15" s="1"/>
    </row>
    <row r="16" spans="1:12" x14ac:dyDescent="0.25">
      <c r="A16" s="52"/>
      <c r="B16" s="64"/>
      <c r="C16" s="64"/>
      <c r="D16" s="8" t="s">
        <v>6</v>
      </c>
      <c r="E16" s="15" t="s">
        <v>2</v>
      </c>
      <c r="F16" s="16">
        <f>8079+807+57361</f>
        <v>66247</v>
      </c>
      <c r="G16" s="1"/>
    </row>
    <row r="17" spans="1:8" x14ac:dyDescent="0.25">
      <c r="A17" s="52"/>
      <c r="B17" s="64"/>
      <c r="C17" s="64"/>
      <c r="D17" s="8" t="s">
        <v>3</v>
      </c>
      <c r="E17" s="15" t="s">
        <v>5</v>
      </c>
      <c r="F17" s="16">
        <f>640976+8888+12119</f>
        <v>661983</v>
      </c>
      <c r="G17" s="1"/>
    </row>
    <row r="18" spans="1:8" ht="15.75" x14ac:dyDescent="0.25">
      <c r="A18" s="52"/>
      <c r="B18" s="64"/>
      <c r="C18" s="64"/>
      <c r="D18" s="8" t="s">
        <v>42</v>
      </c>
      <c r="E18" s="15" t="s">
        <v>20</v>
      </c>
      <c r="F18" s="16">
        <f>4040+403+28680</f>
        <v>33123</v>
      </c>
      <c r="G18" s="1"/>
    </row>
    <row r="19" spans="1:8" ht="34.5" customHeight="1" x14ac:dyDescent="0.25">
      <c r="A19" s="52"/>
      <c r="B19" s="64"/>
      <c r="C19" s="64"/>
      <c r="D19" s="57" t="s">
        <v>32</v>
      </c>
      <c r="E19" s="58"/>
      <c r="F19" s="59"/>
      <c r="G19" s="1"/>
    </row>
    <row r="20" spans="1:8" x14ac:dyDescent="0.25">
      <c r="A20" s="52"/>
      <c r="B20" s="64"/>
      <c r="C20" s="64"/>
      <c r="D20" s="48" t="s">
        <v>43</v>
      </c>
      <c r="E20" s="48"/>
      <c r="F20" s="48">
        <f>5000+1500+1000</f>
        <v>7500</v>
      </c>
      <c r="G20" s="1"/>
    </row>
    <row r="21" spans="1:8" x14ac:dyDescent="0.25">
      <c r="A21" s="52"/>
      <c r="B21" s="64"/>
      <c r="C21" s="64"/>
      <c r="D21" s="48" t="s">
        <v>44</v>
      </c>
      <c r="E21" s="48"/>
      <c r="F21" s="48"/>
      <c r="G21" s="1"/>
    </row>
    <row r="22" spans="1:8" x14ac:dyDescent="0.25">
      <c r="A22" s="52"/>
      <c r="B22" s="64"/>
      <c r="C22" s="64"/>
      <c r="D22" s="17" t="s">
        <v>21</v>
      </c>
      <c r="E22" s="4" t="s">
        <v>22</v>
      </c>
      <c r="F22" s="23">
        <f>20000+25000</f>
        <v>45000</v>
      </c>
      <c r="G22" s="1"/>
    </row>
    <row r="23" spans="1:8" x14ac:dyDescent="0.25">
      <c r="A23" s="52"/>
      <c r="B23" s="64"/>
      <c r="C23" s="64"/>
      <c r="D23" s="17" t="s">
        <v>23</v>
      </c>
      <c r="E23" s="18" t="s">
        <v>16</v>
      </c>
      <c r="F23" s="10"/>
      <c r="G23" s="1"/>
    </row>
    <row r="24" spans="1:8" ht="39" x14ac:dyDescent="0.25">
      <c r="A24" s="52"/>
      <c r="B24" s="64"/>
      <c r="C24" s="64"/>
      <c r="D24" s="38" t="s">
        <v>47</v>
      </c>
      <c r="E24" s="18" t="s">
        <v>16</v>
      </c>
      <c r="F24" s="10"/>
      <c r="G24" s="1"/>
    </row>
    <row r="25" spans="1:8" x14ac:dyDescent="0.25">
      <c r="A25" s="52"/>
      <c r="B25" s="64"/>
      <c r="C25" s="64"/>
      <c r="D25" s="17" t="s">
        <v>24</v>
      </c>
      <c r="E25" s="18" t="s">
        <v>16</v>
      </c>
      <c r="F25" s="10">
        <f>65000+11866+35000</f>
        <v>111866</v>
      </c>
      <c r="G25" s="1"/>
    </row>
    <row r="26" spans="1:8" x14ac:dyDescent="0.25">
      <c r="A26" s="52"/>
      <c r="B26" s="64"/>
      <c r="C26" s="64"/>
      <c r="D26" s="17" t="s">
        <v>45</v>
      </c>
      <c r="E26" s="18" t="s">
        <v>16</v>
      </c>
      <c r="F26" s="10"/>
      <c r="G26" s="1"/>
    </row>
    <row r="27" spans="1:8" ht="26.25" x14ac:dyDescent="0.25">
      <c r="A27" s="52"/>
      <c r="B27" s="64"/>
      <c r="C27" s="64"/>
      <c r="D27" s="38" t="s">
        <v>46</v>
      </c>
      <c r="E27" s="18" t="s">
        <v>16</v>
      </c>
      <c r="F27" s="10"/>
      <c r="G27" s="1"/>
    </row>
    <row r="28" spans="1:8" ht="29.25" customHeight="1" x14ac:dyDescent="0.25">
      <c r="A28" s="52"/>
      <c r="B28" s="64"/>
      <c r="C28" s="64"/>
      <c r="D28" s="57" t="s">
        <v>34</v>
      </c>
      <c r="E28" s="58"/>
      <c r="F28" s="59"/>
      <c r="G28" s="1"/>
    </row>
    <row r="29" spans="1:8" x14ac:dyDescent="0.25">
      <c r="A29" s="52"/>
      <c r="B29" s="64"/>
      <c r="C29" s="64"/>
      <c r="D29" s="17" t="s">
        <v>9</v>
      </c>
      <c r="E29" s="19" t="s">
        <v>18</v>
      </c>
      <c r="F29" s="23">
        <v>9</v>
      </c>
      <c r="G29" s="1"/>
    </row>
    <row r="30" spans="1:8" x14ac:dyDescent="0.25">
      <c r="A30" s="52"/>
      <c r="B30" s="64"/>
      <c r="C30" s="64"/>
      <c r="D30" s="57" t="s">
        <v>33</v>
      </c>
      <c r="E30" s="58"/>
      <c r="F30" s="59"/>
      <c r="G30" s="1"/>
    </row>
    <row r="31" spans="1:8" x14ac:dyDescent="0.25">
      <c r="A31" s="52"/>
      <c r="B31" s="64"/>
      <c r="C31" s="64"/>
      <c r="D31" s="20" t="s">
        <v>7</v>
      </c>
      <c r="E31" s="22" t="s">
        <v>25</v>
      </c>
      <c r="F31" s="23">
        <v>5</v>
      </c>
      <c r="G31" s="1"/>
    </row>
    <row r="32" spans="1:8" ht="30" customHeight="1" x14ac:dyDescent="0.25">
      <c r="A32" s="52"/>
      <c r="B32" s="64"/>
      <c r="C32" s="64"/>
      <c r="D32" s="60" t="s">
        <v>35</v>
      </c>
      <c r="E32" s="60"/>
      <c r="F32" s="60"/>
      <c r="G32" s="1"/>
      <c r="H32" s="31">
        <f>F12+F13+F16+F17+F18+F20+F21+F22+F23+F25+F34+F35+F37++F41+F43</f>
        <v>2982992</v>
      </c>
    </row>
    <row r="33" spans="1:26" ht="26.25" x14ac:dyDescent="0.25">
      <c r="A33" s="52"/>
      <c r="B33" s="64"/>
      <c r="C33" s="64"/>
      <c r="D33" s="36" t="s">
        <v>41</v>
      </c>
      <c r="E33" s="18" t="s">
        <v>15</v>
      </c>
      <c r="F33" s="25">
        <v>46.6</v>
      </c>
      <c r="G33" s="1"/>
      <c r="H33" s="46">
        <f>F12+F13+F16+F17+F18+F20+F22+F25+F34+F35+F37+F41+F43</f>
        <v>2982992</v>
      </c>
    </row>
    <row r="34" spans="1:26" x14ac:dyDescent="0.25">
      <c r="A34" s="52"/>
      <c r="B34" s="64"/>
      <c r="C34" s="64"/>
      <c r="D34" s="6" t="s">
        <v>26</v>
      </c>
      <c r="E34" s="7" t="s">
        <v>8</v>
      </c>
      <c r="F34" s="34">
        <f>338461+87749+4178</f>
        <v>430388</v>
      </c>
      <c r="G34" s="1"/>
    </row>
    <row r="35" spans="1:26" x14ac:dyDescent="0.25">
      <c r="A35" s="52"/>
      <c r="B35" s="64"/>
      <c r="C35" s="64"/>
      <c r="D35" s="5" t="s">
        <v>27</v>
      </c>
      <c r="E35" s="7" t="s">
        <v>8</v>
      </c>
      <c r="F35" s="34">
        <f>1261+26500+102215</f>
        <v>129976</v>
      </c>
      <c r="G35" s="1"/>
    </row>
    <row r="36" spans="1:26" x14ac:dyDescent="0.25">
      <c r="A36" s="52"/>
      <c r="B36" s="64"/>
      <c r="C36" s="64"/>
      <c r="D36" s="60" t="s">
        <v>36</v>
      </c>
      <c r="E36" s="60"/>
      <c r="F36" s="60"/>
      <c r="G36" s="1"/>
    </row>
    <row r="37" spans="1:26" x14ac:dyDescent="0.25">
      <c r="A37" s="52"/>
      <c r="B37" s="64"/>
      <c r="C37" s="64"/>
      <c r="D37" s="26" t="s">
        <v>19</v>
      </c>
      <c r="E37" s="27" t="s">
        <v>8</v>
      </c>
      <c r="F37" s="29">
        <f>15000+25000</f>
        <v>40000</v>
      </c>
      <c r="G37" s="1"/>
    </row>
    <row r="38" spans="1:26" x14ac:dyDescent="0.25">
      <c r="A38" s="52"/>
      <c r="B38" s="64"/>
      <c r="C38" s="64"/>
      <c r="D38" s="26" t="s">
        <v>50</v>
      </c>
      <c r="E38" s="27"/>
      <c r="F38" s="29"/>
      <c r="G38" s="1"/>
    </row>
    <row r="39" spans="1:26" ht="26.25" x14ac:dyDescent="0.25">
      <c r="A39" s="52"/>
      <c r="B39" s="64"/>
      <c r="C39" s="64"/>
      <c r="D39" s="26" t="s">
        <v>51</v>
      </c>
      <c r="E39" s="27"/>
      <c r="F39" s="29"/>
      <c r="G39" s="1"/>
    </row>
    <row r="40" spans="1:26" ht="39" x14ac:dyDescent="0.25">
      <c r="A40" s="52"/>
      <c r="B40" s="64"/>
      <c r="C40" s="64"/>
      <c r="D40" s="26" t="s">
        <v>48</v>
      </c>
      <c r="E40" s="27"/>
      <c r="F40" s="29"/>
      <c r="G40" s="1"/>
      <c r="N40" s="33">
        <v>535896</v>
      </c>
    </row>
    <row r="41" spans="1:26" x14ac:dyDescent="0.25">
      <c r="A41" s="52"/>
      <c r="B41" s="64"/>
      <c r="C41" s="64"/>
      <c r="D41" s="26" t="s">
        <v>4</v>
      </c>
      <c r="E41" s="27" t="s">
        <v>17</v>
      </c>
      <c r="F41" s="28">
        <f>35000+15000</f>
        <v>50000</v>
      </c>
      <c r="G41" s="1"/>
      <c r="N41" s="34">
        <v>161841</v>
      </c>
    </row>
    <row r="42" spans="1:26" ht="26.25" x14ac:dyDescent="0.25">
      <c r="A42" s="52"/>
      <c r="B42" s="64"/>
      <c r="C42" s="64"/>
      <c r="D42" s="26" t="s">
        <v>49</v>
      </c>
      <c r="E42" s="10" t="s">
        <v>8</v>
      </c>
      <c r="F42" s="29"/>
      <c r="G42" s="1"/>
    </row>
    <row r="43" spans="1:26" x14ac:dyDescent="0.25">
      <c r="A43" s="53"/>
      <c r="B43" s="65"/>
      <c r="C43" s="65"/>
      <c r="D43" s="26" t="s">
        <v>62</v>
      </c>
      <c r="E43" s="10" t="s">
        <v>8</v>
      </c>
      <c r="F43" s="29">
        <f>18768+127955</f>
        <v>146723</v>
      </c>
      <c r="G43" s="1"/>
    </row>
    <row r="44" spans="1:26" s="3" customFormat="1" ht="21" customHeight="1" x14ac:dyDescent="0.25">
      <c r="A44" s="51" t="s">
        <v>60</v>
      </c>
      <c r="B44" s="63" t="s">
        <v>99</v>
      </c>
      <c r="C44" s="63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ht="15" customHeight="1" x14ac:dyDescent="0.25">
      <c r="A45" s="52"/>
      <c r="B45" s="64"/>
      <c r="C45" s="64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52"/>
      <c r="B46" s="64"/>
      <c r="C46" s="64"/>
      <c r="D46" s="14" t="s">
        <v>56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52"/>
      <c r="B47" s="64"/>
      <c r="C47" s="64"/>
      <c r="D47" s="6" t="s">
        <v>26</v>
      </c>
      <c r="E47" s="7" t="s">
        <v>8</v>
      </c>
      <c r="F47" s="33">
        <f>297720+29772+2113815</f>
        <v>2441307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52"/>
      <c r="B48" s="64"/>
      <c r="C48" s="64"/>
      <c r="D48" s="5" t="s">
        <v>27</v>
      </c>
      <c r="E48" s="7" t="s">
        <v>8</v>
      </c>
      <c r="F48" s="34">
        <f>638372+8991+89912</f>
        <v>737275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ht="15" customHeight="1" x14ac:dyDescent="0.25">
      <c r="A49" s="52"/>
      <c r="B49" s="64"/>
      <c r="C49" s="64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52"/>
      <c r="B50" s="64"/>
      <c r="C50" s="64"/>
      <c r="D50" s="60" t="s">
        <v>31</v>
      </c>
      <c r="E50" s="60"/>
      <c r="F50" s="6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52"/>
      <c r="B51" s="64"/>
      <c r="C51" s="64"/>
      <c r="D51" s="8" t="s">
        <v>6</v>
      </c>
      <c r="E51" s="15" t="s">
        <v>2</v>
      </c>
      <c r="F51" s="16">
        <v>14542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52"/>
      <c r="B52" s="64"/>
      <c r="C52" s="64"/>
      <c r="D52" s="8" t="s">
        <v>3</v>
      </c>
      <c r="E52" s="15" t="s">
        <v>5</v>
      </c>
      <c r="F52" s="16">
        <v>159965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52"/>
      <c r="B53" s="64"/>
      <c r="C53" s="64"/>
      <c r="D53" s="8" t="s">
        <v>42</v>
      </c>
      <c r="E53" s="15" t="s">
        <v>20</v>
      </c>
      <c r="F53" s="16">
        <v>7271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8.5" customHeight="1" x14ac:dyDescent="0.25">
      <c r="A54" s="52"/>
      <c r="B54" s="64"/>
      <c r="C54" s="64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52"/>
      <c r="B55" s="64"/>
      <c r="C55" s="64"/>
      <c r="D55" s="48" t="s">
        <v>43</v>
      </c>
      <c r="E55" s="48"/>
      <c r="F55" s="48">
        <v>2000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52"/>
      <c r="B56" s="64"/>
      <c r="C56" s="64"/>
      <c r="D56" s="48" t="s">
        <v>44</v>
      </c>
      <c r="E56" s="48"/>
      <c r="F56" s="48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52"/>
      <c r="B57" s="64"/>
      <c r="C57" s="64"/>
      <c r="D57" s="17" t="s">
        <v>21</v>
      </c>
      <c r="E57" s="4" t="s">
        <v>22</v>
      </c>
      <c r="F57" s="23">
        <v>25000</v>
      </c>
      <c r="G57" s="1"/>
      <c r="H57" s="1"/>
      <c r="I57" s="1"/>
      <c r="J57" s="1"/>
      <c r="K57" s="31" t="e">
        <f>I68+#REF!+H32</f>
        <v>#REF!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52"/>
      <c r="B58" s="64"/>
      <c r="C58" s="64"/>
      <c r="D58" s="17" t="s">
        <v>23</v>
      </c>
      <c r="E58" s="18" t="s">
        <v>16</v>
      </c>
      <c r="F58" s="1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52"/>
      <c r="B59" s="64"/>
      <c r="C59" s="64"/>
      <c r="D59" s="38" t="s">
        <v>47</v>
      </c>
      <c r="E59" s="18" t="s">
        <v>16</v>
      </c>
      <c r="F59" s="1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52"/>
      <c r="B60" s="64"/>
      <c r="C60" s="64"/>
      <c r="D60" s="17" t="s">
        <v>24</v>
      </c>
      <c r="E60" s="18" t="s">
        <v>16</v>
      </c>
      <c r="F60" s="10">
        <v>35000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52"/>
      <c r="B61" s="64"/>
      <c r="C61" s="64"/>
      <c r="D61" s="17" t="s">
        <v>45</v>
      </c>
      <c r="E61" s="18" t="s">
        <v>16</v>
      </c>
      <c r="F61" s="1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52"/>
      <c r="B62" s="64"/>
      <c r="C62" s="64"/>
      <c r="D62" s="38" t="s">
        <v>46</v>
      </c>
      <c r="E62" s="18" t="s">
        <v>16</v>
      </c>
      <c r="F62" s="1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8.5" customHeight="1" x14ac:dyDescent="0.25">
      <c r="A63" s="52"/>
      <c r="B63" s="64"/>
      <c r="C63" s="64"/>
      <c r="D63" s="57" t="s">
        <v>34</v>
      </c>
      <c r="E63" s="58"/>
      <c r="F63" s="59"/>
      <c r="G63" s="1"/>
      <c r="H63" s="31">
        <f>F47+F48+F51+F52+F53+F55+F60+F69+F70+F72+F76+F78</f>
        <v>4684423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52"/>
      <c r="B64" s="64"/>
      <c r="C64" s="64"/>
      <c r="D64" s="17" t="s">
        <v>9</v>
      </c>
      <c r="E64" s="19" t="s">
        <v>18</v>
      </c>
      <c r="F64" s="23">
        <v>9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52"/>
      <c r="B65" s="64"/>
      <c r="C65" s="64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52"/>
      <c r="B66" s="64"/>
      <c r="C66" s="64"/>
      <c r="D66" s="20" t="s">
        <v>7</v>
      </c>
      <c r="E66" s="22" t="s">
        <v>25</v>
      </c>
      <c r="F66" s="23">
        <v>5</v>
      </c>
      <c r="G66" s="1"/>
      <c r="H66" s="46">
        <f>F47+F48+F51+F52+F53+F55+F57+F60+F69+F70+F72+F76+F78</f>
        <v>4709423</v>
      </c>
      <c r="I66" s="31">
        <f>F48+F47+F51+F52+F53+F55+F57+F60+F69+F70+F72+F76+F78</f>
        <v>4709423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1.5" customHeight="1" x14ac:dyDescent="0.25">
      <c r="A67" s="52"/>
      <c r="B67" s="64"/>
      <c r="C67" s="64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52"/>
      <c r="B68" s="64"/>
      <c r="C68" s="64"/>
      <c r="D68" s="36" t="s">
        <v>41</v>
      </c>
      <c r="E68" s="18" t="s">
        <v>15</v>
      </c>
      <c r="F68" s="25">
        <v>46.6</v>
      </c>
      <c r="G68" s="1"/>
      <c r="H68" s="1"/>
      <c r="I68" s="31">
        <f>F47+F48+F51+F52+F53+F57+F58+F59+F60+F61+F69+F70</f>
        <v>4260906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52"/>
      <c r="B69" s="64"/>
      <c r="C69" s="64"/>
      <c r="D69" s="6" t="s">
        <v>26</v>
      </c>
      <c r="E69" s="7" t="s">
        <v>8</v>
      </c>
      <c r="F69" s="34">
        <f>338461+87749+4178+215194</f>
        <v>645582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52"/>
      <c r="B70" s="64"/>
      <c r="C70" s="64"/>
      <c r="D70" s="5" t="s">
        <v>27</v>
      </c>
      <c r="E70" s="7" t="s">
        <v>8</v>
      </c>
      <c r="F70" s="34">
        <f>1261+26500+102215+64988</f>
        <v>194964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52"/>
      <c r="B71" s="64"/>
      <c r="C71" s="64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52"/>
      <c r="B72" s="64"/>
      <c r="C72" s="64"/>
      <c r="D72" s="26" t="s">
        <v>19</v>
      </c>
      <c r="E72" s="27" t="s">
        <v>8</v>
      </c>
      <c r="F72" s="29">
        <v>10000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52"/>
      <c r="B73" s="64"/>
      <c r="C73" s="64"/>
      <c r="D73" s="26" t="s">
        <v>50</v>
      </c>
      <c r="E73" s="27"/>
      <c r="F73" s="29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ht="26.25" x14ac:dyDescent="0.25">
      <c r="A74" s="52"/>
      <c r="B74" s="64"/>
      <c r="C74" s="64"/>
      <c r="D74" s="26" t="s">
        <v>51</v>
      </c>
      <c r="E74" s="27"/>
      <c r="F74" s="29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52"/>
      <c r="B75" s="64"/>
      <c r="C75" s="64"/>
      <c r="D75" s="26" t="s">
        <v>48</v>
      </c>
      <c r="E75" s="27"/>
      <c r="F75" s="29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52"/>
      <c r="B76" s="64"/>
      <c r="C76" s="64"/>
      <c r="D76" s="26" t="s">
        <v>4</v>
      </c>
      <c r="E76" s="27" t="s">
        <v>17</v>
      </c>
      <c r="F76" s="28">
        <v>10000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52"/>
      <c r="B77" s="64"/>
      <c r="C77" s="64"/>
      <c r="D77" s="26" t="s">
        <v>49</v>
      </c>
      <c r="E77" s="10" t="s">
        <v>8</v>
      </c>
      <c r="F77" s="29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53"/>
      <c r="B78" s="65"/>
      <c r="C78" s="65"/>
      <c r="D78" s="26" t="s">
        <v>62</v>
      </c>
      <c r="E78" s="10" t="s">
        <v>8</v>
      </c>
      <c r="F78" s="29">
        <v>426517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51" t="s">
        <v>39</v>
      </c>
      <c r="B79" s="54" t="s">
        <v>100</v>
      </c>
      <c r="C79" s="54" t="s">
        <v>55</v>
      </c>
      <c r="D79" s="57" t="s">
        <v>28</v>
      </c>
      <c r="E79" s="58"/>
      <c r="F79" s="59"/>
    </row>
    <row r="80" spans="1:26" x14ac:dyDescent="0.25">
      <c r="A80" s="52"/>
      <c r="B80" s="55"/>
      <c r="C80" s="55"/>
      <c r="D80" s="60" t="s">
        <v>29</v>
      </c>
      <c r="E80" s="60"/>
      <c r="F80" s="60"/>
    </row>
    <row r="81" spans="1:11" x14ac:dyDescent="0.25">
      <c r="A81" s="52"/>
      <c r="B81" s="55"/>
      <c r="C81" s="55"/>
      <c r="D81" s="14" t="s">
        <v>40</v>
      </c>
      <c r="E81" s="10" t="s">
        <v>15</v>
      </c>
      <c r="F81" s="10">
        <v>92.56</v>
      </c>
    </row>
    <row r="82" spans="1:11" x14ac:dyDescent="0.25">
      <c r="A82" s="52"/>
      <c r="B82" s="55"/>
      <c r="C82" s="55"/>
      <c r="D82" s="6" t="s">
        <v>26</v>
      </c>
      <c r="E82" s="7" t="s">
        <v>8</v>
      </c>
      <c r="F82" s="33">
        <v>535896</v>
      </c>
      <c r="K82" s="33">
        <f>297720+29772+2113815</f>
        <v>2441307</v>
      </c>
    </row>
    <row r="83" spans="1:11" x14ac:dyDescent="0.25">
      <c r="A83" s="52"/>
      <c r="B83" s="55"/>
      <c r="C83" s="55"/>
      <c r="D83" s="5" t="s">
        <v>27</v>
      </c>
      <c r="E83" s="7" t="s">
        <v>8</v>
      </c>
      <c r="F83" s="34">
        <v>161841</v>
      </c>
      <c r="K83" s="34">
        <f>638372+8991+89912</f>
        <v>737275</v>
      </c>
    </row>
    <row r="84" spans="1:11" x14ac:dyDescent="0.25">
      <c r="A84" s="52"/>
      <c r="B84" s="55"/>
      <c r="C84" s="55"/>
      <c r="D84" s="57" t="s">
        <v>30</v>
      </c>
      <c r="E84" s="58"/>
      <c r="F84" s="59"/>
    </row>
    <row r="85" spans="1:11" x14ac:dyDescent="0.25">
      <c r="A85" s="52"/>
      <c r="B85" s="55"/>
      <c r="C85" s="55"/>
      <c r="D85" s="57" t="s">
        <v>31</v>
      </c>
      <c r="E85" s="58"/>
      <c r="F85" s="59"/>
    </row>
    <row r="86" spans="1:11" x14ac:dyDescent="0.25">
      <c r="A86" s="52"/>
      <c r="B86" s="55"/>
      <c r="C86" s="55"/>
      <c r="D86" s="8" t="s">
        <v>6</v>
      </c>
      <c r="E86" s="15" t="s">
        <v>2</v>
      </c>
      <c r="F86" s="16">
        <f>269+5655+21813</f>
        <v>27737</v>
      </c>
    </row>
    <row r="87" spans="1:11" x14ac:dyDescent="0.25">
      <c r="A87" s="52"/>
      <c r="B87" s="55"/>
      <c r="C87" s="55"/>
      <c r="D87" s="8" t="s">
        <v>3</v>
      </c>
      <c r="E87" s="15" t="s">
        <v>5</v>
      </c>
      <c r="F87" s="16">
        <f>239949+62209+2963</f>
        <v>305121</v>
      </c>
    </row>
    <row r="88" spans="1:11" ht="15.75" x14ac:dyDescent="0.25">
      <c r="A88" s="52"/>
      <c r="B88" s="55"/>
      <c r="C88" s="55"/>
      <c r="D88" s="8" t="s">
        <v>42</v>
      </c>
      <c r="E88" s="15" t="s">
        <v>20</v>
      </c>
      <c r="F88" s="16">
        <f>134+2827+10906</f>
        <v>13867</v>
      </c>
    </row>
    <row r="89" spans="1:11" x14ac:dyDescent="0.25">
      <c r="A89" s="52"/>
      <c r="B89" s="55"/>
      <c r="C89" s="55"/>
      <c r="D89" s="57" t="s">
        <v>32</v>
      </c>
      <c r="E89" s="58"/>
      <c r="F89" s="59"/>
    </row>
    <row r="90" spans="1:11" x14ac:dyDescent="0.25">
      <c r="A90" s="52"/>
      <c r="B90" s="55"/>
      <c r="C90" s="55"/>
      <c r="D90" s="48" t="s">
        <v>43</v>
      </c>
      <c r="E90" s="48"/>
      <c r="F90" s="48">
        <f>5000+1500</f>
        <v>6500</v>
      </c>
    </row>
    <row r="91" spans="1:11" x14ac:dyDescent="0.25">
      <c r="A91" s="52"/>
      <c r="B91" s="55"/>
      <c r="C91" s="55"/>
      <c r="D91" s="48" t="s">
        <v>44</v>
      </c>
      <c r="E91" s="48"/>
      <c r="F91" s="48"/>
    </row>
    <row r="92" spans="1:11" x14ac:dyDescent="0.25">
      <c r="A92" s="52"/>
      <c r="B92" s="55"/>
      <c r="C92" s="55"/>
      <c r="D92" s="17" t="s">
        <v>21</v>
      </c>
      <c r="E92" s="4" t="s">
        <v>22</v>
      </c>
      <c r="F92" s="23">
        <f>15000+10000+2000</f>
        <v>27000</v>
      </c>
    </row>
    <row r="93" spans="1:11" x14ac:dyDescent="0.25">
      <c r="A93" s="52"/>
      <c r="B93" s="55"/>
      <c r="C93" s="55"/>
      <c r="D93" s="17" t="s">
        <v>23</v>
      </c>
      <c r="E93" s="18" t="s">
        <v>16</v>
      </c>
      <c r="F93" s="10"/>
    </row>
    <row r="94" spans="1:11" ht="39" x14ac:dyDescent="0.25">
      <c r="A94" s="52"/>
      <c r="B94" s="55"/>
      <c r="C94" s="55"/>
      <c r="D94" s="38" t="s">
        <v>47</v>
      </c>
      <c r="E94" s="18"/>
      <c r="F94" s="10"/>
    </row>
    <row r="95" spans="1:11" x14ac:dyDescent="0.25">
      <c r="A95" s="52"/>
      <c r="B95" s="55"/>
      <c r="C95" s="55"/>
      <c r="D95" s="17" t="s">
        <v>24</v>
      </c>
      <c r="E95" s="18"/>
      <c r="F95" s="10">
        <f>25000+35000</f>
        <v>60000</v>
      </c>
    </row>
    <row r="96" spans="1:11" x14ac:dyDescent="0.25">
      <c r="A96" s="52"/>
      <c r="B96" s="55"/>
      <c r="C96" s="55"/>
      <c r="D96" s="17" t="s">
        <v>45</v>
      </c>
      <c r="E96" s="18"/>
      <c r="F96" s="10"/>
    </row>
    <row r="97" spans="1:8" ht="26.25" x14ac:dyDescent="0.25">
      <c r="A97" s="52"/>
      <c r="B97" s="55"/>
      <c r="C97" s="55"/>
      <c r="D97" s="38" t="s">
        <v>46</v>
      </c>
      <c r="E97" s="18"/>
      <c r="F97" s="10"/>
    </row>
    <row r="98" spans="1:8" x14ac:dyDescent="0.25">
      <c r="A98" s="52"/>
      <c r="B98" s="55"/>
      <c r="C98" s="55"/>
      <c r="D98" s="57" t="s">
        <v>34</v>
      </c>
      <c r="E98" s="58"/>
      <c r="F98" s="59"/>
      <c r="H98" s="31">
        <f>F82+F83+F86+F87+F88+F90+F95+F104+F105+F107+F111+F113</f>
        <v>2310834</v>
      </c>
    </row>
    <row r="99" spans="1:8" x14ac:dyDescent="0.25">
      <c r="A99" s="52"/>
      <c r="B99" s="55"/>
      <c r="C99" s="55"/>
      <c r="D99" s="17" t="s">
        <v>9</v>
      </c>
      <c r="E99" s="19" t="s">
        <v>18</v>
      </c>
      <c r="F99" s="23">
        <v>9</v>
      </c>
      <c r="H99" s="46">
        <f>F83+F82+F86+F87+F88+F90+F92+F95+F104+F105+F107+F113</f>
        <v>2337834</v>
      </c>
    </row>
    <row r="100" spans="1:8" x14ac:dyDescent="0.25">
      <c r="A100" s="52"/>
      <c r="B100" s="55"/>
      <c r="C100" s="55"/>
      <c r="D100" s="57" t="s">
        <v>33</v>
      </c>
      <c r="E100" s="58"/>
      <c r="F100" s="59"/>
    </row>
    <row r="101" spans="1:8" x14ac:dyDescent="0.25">
      <c r="A101" s="52"/>
      <c r="B101" s="55"/>
      <c r="C101" s="55"/>
      <c r="D101" s="20" t="s">
        <v>7</v>
      </c>
      <c r="E101" s="22" t="s">
        <v>25</v>
      </c>
      <c r="F101" s="23">
        <v>5</v>
      </c>
    </row>
    <row r="102" spans="1:8" x14ac:dyDescent="0.25">
      <c r="A102" s="52"/>
      <c r="B102" s="55"/>
      <c r="C102" s="55"/>
      <c r="D102" s="60" t="s">
        <v>35</v>
      </c>
      <c r="E102" s="60"/>
      <c r="F102" s="60"/>
    </row>
    <row r="103" spans="1:8" ht="26.25" x14ac:dyDescent="0.25">
      <c r="A103" s="52"/>
      <c r="B103" s="55"/>
      <c r="C103" s="55"/>
      <c r="D103" s="36" t="s">
        <v>41</v>
      </c>
      <c r="E103" s="18" t="s">
        <v>15</v>
      </c>
      <c r="F103" s="25">
        <v>47</v>
      </c>
    </row>
    <row r="104" spans="1:8" x14ac:dyDescent="0.25">
      <c r="A104" s="52"/>
      <c r="B104" s="55"/>
      <c r="C104" s="55"/>
      <c r="D104" s="6" t="s">
        <v>26</v>
      </c>
      <c r="E104" s="7" t="s">
        <v>8</v>
      </c>
      <c r="F104" s="34">
        <f>338461+87749+4178</f>
        <v>430388</v>
      </c>
    </row>
    <row r="105" spans="1:8" x14ac:dyDescent="0.25">
      <c r="A105" s="52"/>
      <c r="B105" s="55"/>
      <c r="C105" s="55"/>
      <c r="D105" s="5" t="s">
        <v>27</v>
      </c>
      <c r="E105" s="7" t="s">
        <v>8</v>
      </c>
      <c r="F105" s="34">
        <f>1261+26500+102215</f>
        <v>129976</v>
      </c>
    </row>
    <row r="106" spans="1:8" x14ac:dyDescent="0.25">
      <c r="A106" s="52"/>
      <c r="B106" s="55"/>
      <c r="C106" s="55"/>
      <c r="D106" s="60" t="s">
        <v>36</v>
      </c>
      <c r="E106" s="60"/>
      <c r="F106" s="60"/>
    </row>
    <row r="107" spans="1:8" x14ac:dyDescent="0.25">
      <c r="A107" s="52"/>
      <c r="B107" s="55"/>
      <c r="C107" s="55"/>
      <c r="D107" s="26" t="s">
        <v>19</v>
      </c>
      <c r="E107" s="27" t="s">
        <v>8</v>
      </c>
      <c r="F107" s="29">
        <f>15000+2500+1000</f>
        <v>18500</v>
      </c>
    </row>
    <row r="108" spans="1:8" x14ac:dyDescent="0.25">
      <c r="A108" s="52"/>
      <c r="B108" s="55"/>
      <c r="C108" s="55"/>
      <c r="D108" s="26" t="s">
        <v>50</v>
      </c>
      <c r="E108" s="27"/>
      <c r="F108" s="29"/>
    </row>
    <row r="109" spans="1:8" x14ac:dyDescent="0.25">
      <c r="A109" s="52"/>
      <c r="B109" s="55"/>
      <c r="C109" s="55"/>
      <c r="D109" s="26" t="s">
        <v>52</v>
      </c>
      <c r="E109" s="27"/>
      <c r="F109" s="29"/>
    </row>
    <row r="110" spans="1:8" ht="39" x14ac:dyDescent="0.25">
      <c r="A110" s="52"/>
      <c r="B110" s="55"/>
      <c r="C110" s="55"/>
      <c r="D110" s="26" t="s">
        <v>48</v>
      </c>
      <c r="E110" s="27"/>
      <c r="F110" s="29"/>
    </row>
    <row r="111" spans="1:8" x14ac:dyDescent="0.25">
      <c r="A111" s="52"/>
      <c r="B111" s="55"/>
      <c r="C111" s="55"/>
      <c r="D111" s="26" t="s">
        <v>4</v>
      </c>
      <c r="E111" s="27" t="s">
        <v>17</v>
      </c>
      <c r="F111" s="29"/>
    </row>
    <row r="112" spans="1:8" ht="26.25" x14ac:dyDescent="0.25">
      <c r="A112" s="52"/>
      <c r="B112" s="55"/>
      <c r="C112" s="55"/>
      <c r="D112" s="26" t="s">
        <v>49</v>
      </c>
      <c r="E112" s="10" t="s">
        <v>8</v>
      </c>
      <c r="F112" s="29"/>
    </row>
    <row r="113" spans="1:6" x14ac:dyDescent="0.25">
      <c r="A113" s="53"/>
      <c r="B113" s="56"/>
      <c r="C113" s="56"/>
      <c r="D113" s="26" t="s">
        <v>62</v>
      </c>
      <c r="E113" s="10" t="s">
        <v>8</v>
      </c>
      <c r="F113" s="29">
        <v>621008</v>
      </c>
    </row>
    <row r="114" spans="1:6" ht="15" customHeight="1" x14ac:dyDescent="0.25">
      <c r="A114" s="51" t="s">
        <v>101</v>
      </c>
      <c r="B114" s="54" t="s">
        <v>102</v>
      </c>
      <c r="C114" s="54" t="s">
        <v>55</v>
      </c>
      <c r="D114" s="57" t="s">
        <v>28</v>
      </c>
      <c r="E114" s="58"/>
      <c r="F114" s="59"/>
    </row>
    <row r="115" spans="1:6" x14ac:dyDescent="0.25">
      <c r="A115" s="52"/>
      <c r="B115" s="55"/>
      <c r="C115" s="55"/>
      <c r="D115" s="60" t="s">
        <v>29</v>
      </c>
      <c r="E115" s="60"/>
      <c r="F115" s="60"/>
    </row>
    <row r="116" spans="1:6" x14ac:dyDescent="0.25">
      <c r="A116" s="52"/>
      <c r="B116" s="55"/>
      <c r="C116" s="55"/>
      <c r="D116" s="14" t="s">
        <v>40</v>
      </c>
      <c r="E116" s="10" t="s">
        <v>15</v>
      </c>
      <c r="F116" s="10">
        <v>92.56</v>
      </c>
    </row>
    <row r="117" spans="1:6" x14ac:dyDescent="0.25">
      <c r="A117" s="52"/>
      <c r="B117" s="55"/>
      <c r="C117" s="55"/>
      <c r="D117" s="6" t="s">
        <v>26</v>
      </c>
      <c r="E117" s="7" t="s">
        <v>8</v>
      </c>
      <c r="F117" s="33"/>
    </row>
    <row r="118" spans="1:6" x14ac:dyDescent="0.25">
      <c r="A118" s="52"/>
      <c r="B118" s="55"/>
      <c r="C118" s="55"/>
      <c r="D118" s="5" t="s">
        <v>27</v>
      </c>
      <c r="E118" s="7" t="s">
        <v>8</v>
      </c>
      <c r="F118" s="34"/>
    </row>
    <row r="119" spans="1:6" x14ac:dyDescent="0.25">
      <c r="A119" s="52"/>
      <c r="B119" s="55"/>
      <c r="C119" s="55"/>
      <c r="D119" s="57" t="s">
        <v>30</v>
      </c>
      <c r="E119" s="58"/>
      <c r="F119" s="59"/>
    </row>
    <row r="120" spans="1:6" x14ac:dyDescent="0.25">
      <c r="A120" s="52"/>
      <c r="B120" s="55"/>
      <c r="C120" s="55"/>
      <c r="D120" s="57" t="s">
        <v>31</v>
      </c>
      <c r="E120" s="58"/>
      <c r="F120" s="59"/>
    </row>
    <row r="121" spans="1:6" x14ac:dyDescent="0.25">
      <c r="A121" s="52"/>
      <c r="B121" s="55"/>
      <c r="C121" s="55"/>
      <c r="D121" s="8" t="s">
        <v>6</v>
      </c>
      <c r="E121" s="15" t="s">
        <v>2</v>
      </c>
      <c r="F121" s="16">
        <v>14542</v>
      </c>
    </row>
    <row r="122" spans="1:6" x14ac:dyDescent="0.25">
      <c r="A122" s="52"/>
      <c r="B122" s="55"/>
      <c r="C122" s="55"/>
      <c r="D122" s="8" t="s">
        <v>3</v>
      </c>
      <c r="E122" s="15" t="s">
        <v>5</v>
      </c>
      <c r="F122" s="16">
        <v>159965</v>
      </c>
    </row>
    <row r="123" spans="1:6" ht="15.75" x14ac:dyDescent="0.25">
      <c r="A123" s="52"/>
      <c r="B123" s="55"/>
      <c r="C123" s="55"/>
      <c r="D123" s="8" t="s">
        <v>42</v>
      </c>
      <c r="E123" s="15" t="s">
        <v>20</v>
      </c>
      <c r="F123" s="16">
        <v>7271</v>
      </c>
    </row>
    <row r="124" spans="1:6" ht="24" customHeight="1" x14ac:dyDescent="0.25">
      <c r="A124" s="52"/>
      <c r="B124" s="55"/>
      <c r="C124" s="55"/>
      <c r="D124" s="57" t="s">
        <v>32</v>
      </c>
      <c r="E124" s="58"/>
      <c r="F124" s="59"/>
    </row>
    <row r="125" spans="1:6" x14ac:dyDescent="0.25">
      <c r="A125" s="52"/>
      <c r="B125" s="55"/>
      <c r="C125" s="55"/>
      <c r="D125" s="48" t="s">
        <v>43</v>
      </c>
      <c r="E125" s="48"/>
      <c r="F125" s="48">
        <v>5000</v>
      </c>
    </row>
    <row r="126" spans="1:6" x14ac:dyDescent="0.25">
      <c r="A126" s="52"/>
      <c r="B126" s="55"/>
      <c r="C126" s="55"/>
      <c r="D126" s="48" t="s">
        <v>44</v>
      </c>
      <c r="E126" s="48"/>
      <c r="F126" s="48"/>
    </row>
    <row r="127" spans="1:6" x14ac:dyDescent="0.25">
      <c r="A127" s="52"/>
      <c r="B127" s="55"/>
      <c r="C127" s="55"/>
      <c r="D127" s="17" t="s">
        <v>21</v>
      </c>
      <c r="E127" s="4" t="s">
        <v>22</v>
      </c>
      <c r="F127" s="23">
        <v>25000</v>
      </c>
    </row>
    <row r="128" spans="1:6" x14ac:dyDescent="0.25">
      <c r="A128" s="52"/>
      <c r="B128" s="55"/>
      <c r="C128" s="55"/>
      <c r="D128" s="17" t="s">
        <v>23</v>
      </c>
      <c r="E128" s="18" t="s">
        <v>16</v>
      </c>
      <c r="F128" s="10"/>
    </row>
    <row r="129" spans="1:11" ht="39" x14ac:dyDescent="0.25">
      <c r="A129" s="52"/>
      <c r="B129" s="55"/>
      <c r="C129" s="55"/>
      <c r="D129" s="38" t="s">
        <v>47</v>
      </c>
      <c r="E129" s="18"/>
      <c r="F129" s="10"/>
    </row>
    <row r="130" spans="1:11" x14ac:dyDescent="0.25">
      <c r="A130" s="52"/>
      <c r="B130" s="55"/>
      <c r="C130" s="55"/>
      <c r="D130" s="17" t="s">
        <v>24</v>
      </c>
      <c r="E130" s="18"/>
      <c r="F130" s="10">
        <v>65000</v>
      </c>
      <c r="H130" s="31">
        <f>F117+F118+F121+F122+F123+F127+F130+F139+F140+F142+F146+F148</f>
        <v>3565884</v>
      </c>
    </row>
    <row r="131" spans="1:11" x14ac:dyDescent="0.25">
      <c r="A131" s="52"/>
      <c r="B131" s="55"/>
      <c r="C131" s="55"/>
      <c r="D131" s="17" t="s">
        <v>45</v>
      </c>
      <c r="E131" s="18"/>
      <c r="F131" s="10"/>
    </row>
    <row r="132" spans="1:11" ht="26.25" x14ac:dyDescent="0.25">
      <c r="A132" s="52"/>
      <c r="B132" s="55"/>
      <c r="C132" s="55"/>
      <c r="D132" s="38" t="s">
        <v>46</v>
      </c>
      <c r="E132" s="18"/>
      <c r="F132" s="10"/>
    </row>
    <row r="133" spans="1:11" x14ac:dyDescent="0.25">
      <c r="A133" s="52"/>
      <c r="B133" s="55"/>
      <c r="C133" s="55"/>
      <c r="D133" s="57" t="s">
        <v>34</v>
      </c>
      <c r="E133" s="58"/>
      <c r="F133" s="59"/>
    </row>
    <row r="134" spans="1:11" x14ac:dyDescent="0.25">
      <c r="A134" s="52"/>
      <c r="B134" s="55"/>
      <c r="C134" s="55"/>
      <c r="D134" s="17" t="s">
        <v>9</v>
      </c>
      <c r="E134" s="19" t="s">
        <v>18</v>
      </c>
      <c r="F134" s="23">
        <v>9</v>
      </c>
    </row>
    <row r="135" spans="1:11" x14ac:dyDescent="0.25">
      <c r="A135" s="52"/>
      <c r="B135" s="55"/>
      <c r="C135" s="55"/>
      <c r="D135" s="57" t="s">
        <v>33</v>
      </c>
      <c r="E135" s="58"/>
      <c r="F135" s="59"/>
      <c r="H135" s="46">
        <f>F121+F122+F123+F125+F127+F130+F139+F140+F148</f>
        <v>3570884</v>
      </c>
    </row>
    <row r="136" spans="1:11" x14ac:dyDescent="0.25">
      <c r="A136" s="52"/>
      <c r="B136" s="55"/>
      <c r="C136" s="55"/>
      <c r="D136" s="20" t="s">
        <v>7</v>
      </c>
      <c r="E136" s="22" t="s">
        <v>25</v>
      </c>
      <c r="F136" s="23">
        <v>5</v>
      </c>
    </row>
    <row r="137" spans="1:11" x14ac:dyDescent="0.25">
      <c r="A137" s="52"/>
      <c r="B137" s="55"/>
      <c r="C137" s="55"/>
      <c r="D137" s="60" t="s">
        <v>35</v>
      </c>
      <c r="E137" s="60"/>
      <c r="F137" s="60"/>
    </row>
    <row r="138" spans="1:11" ht="26.25" x14ac:dyDescent="0.25">
      <c r="A138" s="52"/>
      <c r="B138" s="55"/>
      <c r="C138" s="55"/>
      <c r="D138" s="36" t="s">
        <v>41</v>
      </c>
      <c r="E138" s="18" t="s">
        <v>15</v>
      </c>
      <c r="F138" s="25">
        <v>47</v>
      </c>
    </row>
    <row r="139" spans="1:11" x14ac:dyDescent="0.25">
      <c r="A139" s="52"/>
      <c r="B139" s="55"/>
      <c r="C139" s="55"/>
      <c r="D139" s="6" t="s">
        <v>26</v>
      </c>
      <c r="E139" s="7" t="s">
        <v>8</v>
      </c>
      <c r="F139" s="34">
        <v>215194</v>
      </c>
    </row>
    <row r="140" spans="1:11" x14ac:dyDescent="0.25">
      <c r="A140" s="52"/>
      <c r="B140" s="55"/>
      <c r="C140" s="55"/>
      <c r="D140" s="5" t="s">
        <v>27</v>
      </c>
      <c r="E140" s="7" t="s">
        <v>8</v>
      </c>
      <c r="F140" s="34">
        <v>64988</v>
      </c>
    </row>
    <row r="141" spans="1:11" x14ac:dyDescent="0.25">
      <c r="A141" s="52"/>
      <c r="B141" s="55"/>
      <c r="C141" s="55"/>
      <c r="D141" s="60" t="s">
        <v>36</v>
      </c>
      <c r="E141" s="60"/>
      <c r="F141" s="60"/>
    </row>
    <row r="142" spans="1:11" x14ac:dyDescent="0.25">
      <c r="A142" s="52"/>
      <c r="B142" s="55"/>
      <c r="C142" s="55"/>
      <c r="D142" s="26" t="s">
        <v>19</v>
      </c>
      <c r="E142" s="27" t="s">
        <v>8</v>
      </c>
      <c r="F142" s="29"/>
      <c r="K142" s="46">
        <f>H32+H63+H98+H130</f>
        <v>13544133</v>
      </c>
    </row>
    <row r="143" spans="1:11" x14ac:dyDescent="0.25">
      <c r="A143" s="52"/>
      <c r="B143" s="55"/>
      <c r="C143" s="55"/>
      <c r="D143" s="26" t="s">
        <v>50</v>
      </c>
      <c r="E143" s="27"/>
      <c r="F143" s="29"/>
    </row>
    <row r="144" spans="1:11" x14ac:dyDescent="0.25">
      <c r="A144" s="52"/>
      <c r="B144" s="55"/>
      <c r="C144" s="55"/>
      <c r="D144" s="26" t="s">
        <v>52</v>
      </c>
      <c r="E144" s="27"/>
      <c r="F144" s="29"/>
    </row>
    <row r="145" spans="1:8" ht="39" x14ac:dyDescent="0.25">
      <c r="A145" s="52"/>
      <c r="B145" s="55"/>
      <c r="C145" s="55"/>
      <c r="D145" s="26" t="s">
        <v>48</v>
      </c>
      <c r="E145" s="27"/>
      <c r="F145" s="29"/>
    </row>
    <row r="146" spans="1:8" x14ac:dyDescent="0.25">
      <c r="A146" s="52"/>
      <c r="B146" s="55"/>
      <c r="C146" s="55"/>
      <c r="D146" s="26" t="s">
        <v>4</v>
      </c>
      <c r="E146" s="27" t="s">
        <v>17</v>
      </c>
      <c r="F146" s="29"/>
    </row>
    <row r="147" spans="1:8" ht="26.25" x14ac:dyDescent="0.25">
      <c r="A147" s="52"/>
      <c r="B147" s="55"/>
      <c r="C147" s="55"/>
      <c r="D147" s="26" t="s">
        <v>49</v>
      </c>
      <c r="E147" s="10" t="s">
        <v>8</v>
      </c>
      <c r="F147" s="29"/>
    </row>
    <row r="148" spans="1:8" x14ac:dyDescent="0.25">
      <c r="A148" s="53"/>
      <c r="B148" s="56"/>
      <c r="C148" s="56"/>
      <c r="D148" s="26" t="s">
        <v>62</v>
      </c>
      <c r="E148" s="10" t="s">
        <v>8</v>
      </c>
      <c r="F148" s="29">
        <f>3070924-57000</f>
        <v>3013924</v>
      </c>
    </row>
    <row r="154" spans="1:8" x14ac:dyDescent="0.25">
      <c r="F154" s="43">
        <f>H32+H63+H98+H130</f>
        <v>13544133</v>
      </c>
      <c r="H154" s="46">
        <f>H135+H99+H66+H33</f>
        <v>13601133</v>
      </c>
    </row>
  </sheetData>
  <mergeCells count="51">
    <mergeCell ref="A114:A148"/>
    <mergeCell ref="B114:B148"/>
    <mergeCell ref="C114:C148"/>
    <mergeCell ref="D114:F114"/>
    <mergeCell ref="D115:F115"/>
    <mergeCell ref="D119:F119"/>
    <mergeCell ref="D120:F120"/>
    <mergeCell ref="D124:F124"/>
    <mergeCell ref="D133:F133"/>
    <mergeCell ref="D135:F135"/>
    <mergeCell ref="D137:F137"/>
    <mergeCell ref="D141:F14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D100:F100"/>
    <mergeCell ref="D102:F102"/>
    <mergeCell ref="D106:F106"/>
    <mergeCell ref="D65:F65"/>
    <mergeCell ref="D67:F67"/>
    <mergeCell ref="D71:F71"/>
    <mergeCell ref="A44:A78"/>
    <mergeCell ref="B44:B78"/>
    <mergeCell ref="C44:C78"/>
    <mergeCell ref="D44:F44"/>
    <mergeCell ref="D45:F45"/>
    <mergeCell ref="D49:F49"/>
    <mergeCell ref="D50:F50"/>
    <mergeCell ref="D54:F54"/>
    <mergeCell ref="D63:F63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9:F19"/>
    <mergeCell ref="D28:F28"/>
    <mergeCell ref="D30:F30"/>
    <mergeCell ref="D32:F32"/>
    <mergeCell ref="D36:F36"/>
  </mergeCells>
  <pageMargins left="0.14000000000000001" right="0.15748031496062992" top="0.33" bottom="0.35433070866141736" header="0.31496062992125984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152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3.140625" style="1" customWidth="1"/>
    <col min="9" max="9" width="12.42578125" style="1" bestFit="1" customWidth="1"/>
    <col min="10" max="10" width="10" style="1" bestFit="1" customWidth="1"/>
    <col min="11" max="11" width="1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59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15" customHeight="1" x14ac:dyDescent="0.25">
      <c r="A9" s="51" t="s">
        <v>60</v>
      </c>
      <c r="B9" s="63" t="s">
        <v>98</v>
      </c>
      <c r="C9" s="63" t="s">
        <v>55</v>
      </c>
      <c r="D9" s="57" t="s">
        <v>28</v>
      </c>
      <c r="E9" s="58"/>
      <c r="F9" s="59"/>
      <c r="G9" s="1"/>
    </row>
    <row r="10" spans="1:12" x14ac:dyDescent="0.25">
      <c r="A10" s="52"/>
      <c r="B10" s="64"/>
      <c r="C10" s="64"/>
      <c r="D10" s="60" t="s">
        <v>29</v>
      </c>
      <c r="E10" s="60"/>
      <c r="F10" s="60"/>
      <c r="G10" s="1"/>
    </row>
    <row r="11" spans="1:12" x14ac:dyDescent="0.25">
      <c r="A11" s="52"/>
      <c r="B11" s="64"/>
      <c r="C11" s="64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52"/>
      <c r="B12" s="64"/>
      <c r="C12" s="64"/>
      <c r="D12" s="6" t="s">
        <v>26</v>
      </c>
      <c r="E12" s="7" t="s">
        <v>8</v>
      </c>
      <c r="F12" s="33">
        <f>34071+3674000</f>
        <v>3708071</v>
      </c>
      <c r="G12" s="1"/>
    </row>
    <row r="13" spans="1:12" x14ac:dyDescent="0.25">
      <c r="A13" s="52"/>
      <c r="B13" s="64"/>
      <c r="C13" s="64"/>
      <c r="D13" s="5" t="s">
        <v>27</v>
      </c>
      <c r="E13" s="7" t="s">
        <v>8</v>
      </c>
      <c r="F13" s="34">
        <f>1109548+10289</f>
        <v>1119837</v>
      </c>
      <c r="G13" s="1"/>
    </row>
    <row r="14" spans="1:12" x14ac:dyDescent="0.25">
      <c r="A14" s="52"/>
      <c r="B14" s="64"/>
      <c r="C14" s="64"/>
      <c r="D14" s="57" t="s">
        <v>30</v>
      </c>
      <c r="E14" s="58"/>
      <c r="F14" s="59"/>
      <c r="G14" s="1"/>
    </row>
    <row r="15" spans="1:12" x14ac:dyDescent="0.25">
      <c r="A15" s="52"/>
      <c r="B15" s="64"/>
      <c r="C15" s="64"/>
      <c r="D15" s="60" t="s">
        <v>31</v>
      </c>
      <c r="E15" s="60"/>
      <c r="F15" s="60"/>
      <c r="G15" s="1"/>
    </row>
    <row r="16" spans="1:12" x14ac:dyDescent="0.25">
      <c r="A16" s="52"/>
      <c r="B16" s="64"/>
      <c r="C16" s="64"/>
      <c r="D16" s="8" t="s">
        <v>6</v>
      </c>
      <c r="E16" s="15" t="s">
        <v>2</v>
      </c>
      <c r="F16" s="16">
        <f>1082+1082+86549</f>
        <v>88713</v>
      </c>
      <c r="G16" s="1"/>
    </row>
    <row r="17" spans="1:8" x14ac:dyDescent="0.25">
      <c r="A17" s="52"/>
      <c r="B17" s="64"/>
      <c r="C17" s="64"/>
      <c r="D17" s="8" t="s">
        <v>3</v>
      </c>
      <c r="E17" s="15" t="s">
        <v>5</v>
      </c>
      <c r="F17" s="16">
        <f>952048+11901+11901</f>
        <v>975850</v>
      </c>
      <c r="G17" s="1"/>
    </row>
    <row r="18" spans="1:8" ht="21" customHeight="1" x14ac:dyDescent="0.25">
      <c r="A18" s="52"/>
      <c r="B18" s="64"/>
      <c r="C18" s="64"/>
      <c r="D18" s="8" t="s">
        <v>42</v>
      </c>
      <c r="E18" s="15" t="s">
        <v>20</v>
      </c>
      <c r="F18" s="16">
        <f>540+540+43274</f>
        <v>44354</v>
      </c>
      <c r="G18" s="1">
        <v>12</v>
      </c>
    </row>
    <row r="19" spans="1:8" ht="20.25" customHeight="1" x14ac:dyDescent="0.25">
      <c r="A19" s="52"/>
      <c r="B19" s="64"/>
      <c r="C19" s="64"/>
      <c r="D19" s="57" t="s">
        <v>32</v>
      </c>
      <c r="E19" s="58"/>
      <c r="F19" s="59"/>
      <c r="G19" s="1"/>
    </row>
    <row r="20" spans="1:8" x14ac:dyDescent="0.25">
      <c r="A20" s="52"/>
      <c r="B20" s="64"/>
      <c r="C20" s="64"/>
      <c r="D20" s="45" t="s">
        <v>43</v>
      </c>
      <c r="E20" s="45"/>
      <c r="F20" s="45">
        <f>1500+1500</f>
        <v>3000</v>
      </c>
      <c r="G20" s="1"/>
    </row>
    <row r="21" spans="1:8" x14ac:dyDescent="0.25">
      <c r="A21" s="52"/>
      <c r="B21" s="64"/>
      <c r="C21" s="64"/>
      <c r="D21" s="45" t="s">
        <v>44</v>
      </c>
      <c r="E21" s="45"/>
      <c r="F21" s="45"/>
      <c r="G21" s="1"/>
    </row>
    <row r="22" spans="1:8" x14ac:dyDescent="0.25">
      <c r="A22" s="52"/>
      <c r="B22" s="64"/>
      <c r="C22" s="64"/>
      <c r="D22" s="17" t="s">
        <v>21</v>
      </c>
      <c r="E22" s="4" t="s">
        <v>22</v>
      </c>
      <c r="F22" s="23">
        <v>5000</v>
      </c>
      <c r="G22" s="1"/>
    </row>
    <row r="23" spans="1:8" x14ac:dyDescent="0.25">
      <c r="A23" s="52"/>
      <c r="B23" s="64"/>
      <c r="C23" s="64"/>
      <c r="D23" s="17" t="s">
        <v>23</v>
      </c>
      <c r="E23" s="18" t="s">
        <v>16</v>
      </c>
      <c r="F23" s="10"/>
      <c r="G23" s="1"/>
    </row>
    <row r="24" spans="1:8" ht="39" x14ac:dyDescent="0.25">
      <c r="A24" s="52"/>
      <c r="B24" s="64"/>
      <c r="C24" s="64"/>
      <c r="D24" s="38" t="s">
        <v>47</v>
      </c>
      <c r="E24" s="18" t="s">
        <v>16</v>
      </c>
      <c r="F24" s="10"/>
      <c r="G24" s="1"/>
      <c r="H24" s="31">
        <f>F12+F13+F16+F17+F18+F20+F22+F25+F34+F35+F37+F41+F43</f>
        <v>8457763</v>
      </c>
    </row>
    <row r="25" spans="1:8" x14ac:dyDescent="0.25">
      <c r="A25" s="52"/>
      <c r="B25" s="64"/>
      <c r="C25" s="64"/>
      <c r="D25" s="17" t="s">
        <v>24</v>
      </c>
      <c r="E25" s="18" t="s">
        <v>16</v>
      </c>
      <c r="F25" s="10">
        <f>35000+4919+4919</f>
        <v>44838</v>
      </c>
      <c r="G25" s="1"/>
    </row>
    <row r="26" spans="1:8" x14ac:dyDescent="0.25">
      <c r="A26" s="52"/>
      <c r="B26" s="64"/>
      <c r="C26" s="64"/>
      <c r="D26" s="17" t="s">
        <v>45</v>
      </c>
      <c r="E26" s="18" t="s">
        <v>16</v>
      </c>
      <c r="F26" s="10"/>
      <c r="G26" s="1"/>
    </row>
    <row r="27" spans="1:8" ht="26.25" x14ac:dyDescent="0.25">
      <c r="A27" s="52"/>
      <c r="B27" s="64"/>
      <c r="C27" s="64"/>
      <c r="D27" s="38" t="s">
        <v>46</v>
      </c>
      <c r="E27" s="18" t="s">
        <v>16</v>
      </c>
      <c r="F27" s="10"/>
      <c r="G27" s="1"/>
    </row>
    <row r="28" spans="1:8" x14ac:dyDescent="0.25">
      <c r="A28" s="52"/>
      <c r="B28" s="64"/>
      <c r="C28" s="64"/>
      <c r="D28" s="57" t="s">
        <v>34</v>
      </c>
      <c r="E28" s="58"/>
      <c r="F28" s="59"/>
      <c r="G28" s="1"/>
    </row>
    <row r="29" spans="1:8" x14ac:dyDescent="0.25">
      <c r="A29" s="52"/>
      <c r="B29" s="64"/>
      <c r="C29" s="64"/>
      <c r="D29" s="17" t="s">
        <v>9</v>
      </c>
      <c r="E29" s="19" t="s">
        <v>18</v>
      </c>
      <c r="F29" s="23">
        <v>9</v>
      </c>
      <c r="G29" s="1"/>
    </row>
    <row r="30" spans="1:8" x14ac:dyDescent="0.25">
      <c r="A30" s="52"/>
      <c r="B30" s="64"/>
      <c r="C30" s="64"/>
      <c r="D30" s="57" t="s">
        <v>33</v>
      </c>
      <c r="E30" s="58"/>
      <c r="F30" s="59"/>
      <c r="G30" s="1"/>
    </row>
    <row r="31" spans="1:8" x14ac:dyDescent="0.25">
      <c r="A31" s="52"/>
      <c r="B31" s="64"/>
      <c r="C31" s="64"/>
      <c r="D31" s="20" t="s">
        <v>7</v>
      </c>
      <c r="E31" s="22" t="s">
        <v>25</v>
      </c>
      <c r="F31" s="23">
        <v>5</v>
      </c>
      <c r="G31" s="1"/>
    </row>
    <row r="32" spans="1:8" x14ac:dyDescent="0.25">
      <c r="A32" s="52"/>
      <c r="B32" s="64"/>
      <c r="C32" s="64"/>
      <c r="D32" s="60" t="s">
        <v>35</v>
      </c>
      <c r="E32" s="60"/>
      <c r="F32" s="60"/>
      <c r="G32" s="1"/>
    </row>
    <row r="33" spans="1:7" ht="26.25" x14ac:dyDescent="0.25">
      <c r="A33" s="52"/>
      <c r="B33" s="64"/>
      <c r="C33" s="64"/>
      <c r="D33" s="36" t="s">
        <v>41</v>
      </c>
      <c r="E33" s="18" t="s">
        <v>15</v>
      </c>
      <c r="F33" s="25">
        <v>46.6</v>
      </c>
      <c r="G33" s="1"/>
    </row>
    <row r="34" spans="1:7" x14ac:dyDescent="0.25">
      <c r="A34" s="52"/>
      <c r="B34" s="64"/>
      <c r="C34" s="64"/>
      <c r="D34" s="6" t="s">
        <v>26</v>
      </c>
      <c r="E34" s="7" t="s">
        <v>8</v>
      </c>
      <c r="F34" s="34">
        <f>487565+270869+700528</f>
        <v>1458962</v>
      </c>
      <c r="G34" s="1"/>
    </row>
    <row r="35" spans="1:7" x14ac:dyDescent="0.25">
      <c r="A35" s="52"/>
      <c r="B35" s="64"/>
      <c r="C35" s="64"/>
      <c r="D35" s="5" t="s">
        <v>27</v>
      </c>
      <c r="E35" s="7" t="s">
        <v>8</v>
      </c>
      <c r="F35" s="34">
        <f>81803+147245+211559</f>
        <v>440607</v>
      </c>
      <c r="G35" s="1"/>
    </row>
    <row r="36" spans="1:7" x14ac:dyDescent="0.25">
      <c r="A36" s="52"/>
      <c r="B36" s="64"/>
      <c r="C36" s="64"/>
      <c r="D36" s="60" t="s">
        <v>36</v>
      </c>
      <c r="E36" s="60"/>
      <c r="F36" s="60"/>
      <c r="G36" s="1"/>
    </row>
    <row r="37" spans="1:7" x14ac:dyDescent="0.25">
      <c r="A37" s="52"/>
      <c r="B37" s="64"/>
      <c r="C37" s="64"/>
      <c r="D37" s="26" t="s">
        <v>19</v>
      </c>
      <c r="E37" s="27" t="s">
        <v>8</v>
      </c>
      <c r="F37" s="29">
        <f>1000+1000+10000</f>
        <v>12000</v>
      </c>
      <c r="G37" s="1"/>
    </row>
    <row r="38" spans="1:7" x14ac:dyDescent="0.25">
      <c r="A38" s="52"/>
      <c r="B38" s="64"/>
      <c r="C38" s="64"/>
      <c r="D38" s="26" t="s">
        <v>50</v>
      </c>
      <c r="E38" s="27"/>
      <c r="F38" s="29"/>
      <c r="G38" s="1"/>
    </row>
    <row r="39" spans="1:7" ht="26.25" x14ac:dyDescent="0.25">
      <c r="A39" s="52"/>
      <c r="B39" s="64"/>
      <c r="C39" s="64"/>
      <c r="D39" s="26" t="s">
        <v>51</v>
      </c>
      <c r="E39" s="27"/>
      <c r="F39" s="29"/>
      <c r="G39" s="1"/>
    </row>
    <row r="40" spans="1:7" ht="39" x14ac:dyDescent="0.25">
      <c r="A40" s="52"/>
      <c r="B40" s="64"/>
      <c r="C40" s="64"/>
      <c r="D40" s="26" t="s">
        <v>48</v>
      </c>
      <c r="E40" s="27"/>
      <c r="F40" s="29"/>
      <c r="G40" s="1"/>
    </row>
    <row r="41" spans="1:7" x14ac:dyDescent="0.25">
      <c r="A41" s="52"/>
      <c r="B41" s="64"/>
      <c r="C41" s="64"/>
      <c r="D41" s="26" t="s">
        <v>4</v>
      </c>
      <c r="E41" s="27" t="s">
        <v>17</v>
      </c>
      <c r="F41" s="28">
        <f>15000+1000+1000</f>
        <v>17000</v>
      </c>
      <c r="G41" s="1"/>
    </row>
    <row r="42" spans="1:7" ht="26.25" x14ac:dyDescent="0.25">
      <c r="A42" s="52"/>
      <c r="B42" s="64"/>
      <c r="C42" s="64"/>
      <c r="D42" s="26" t="s">
        <v>49</v>
      </c>
      <c r="E42" s="10" t="s">
        <v>8</v>
      </c>
      <c r="F42" s="29"/>
      <c r="G42" s="1"/>
    </row>
    <row r="43" spans="1:7" x14ac:dyDescent="0.25">
      <c r="A43" s="53"/>
      <c r="B43" s="65"/>
      <c r="C43" s="65"/>
      <c r="D43" s="26" t="s">
        <v>62</v>
      </c>
      <c r="E43" s="10" t="s">
        <v>8</v>
      </c>
      <c r="F43" s="29">
        <v>539531</v>
      </c>
      <c r="G43" s="1"/>
    </row>
    <row r="44" spans="1:7" ht="34.5" customHeight="1" x14ac:dyDescent="0.25">
      <c r="A44" s="51" t="s">
        <v>60</v>
      </c>
      <c r="B44" s="63" t="s">
        <v>99</v>
      </c>
      <c r="C44" s="63" t="s">
        <v>55</v>
      </c>
      <c r="D44" s="57" t="s">
        <v>28</v>
      </c>
      <c r="E44" s="58"/>
      <c r="F44" s="59"/>
      <c r="G44" s="1"/>
    </row>
    <row r="45" spans="1:7" ht="15" customHeight="1" x14ac:dyDescent="0.25">
      <c r="A45" s="52"/>
      <c r="B45" s="64"/>
      <c r="C45" s="64"/>
      <c r="D45" s="60" t="s">
        <v>29</v>
      </c>
      <c r="E45" s="60"/>
      <c r="F45" s="60"/>
      <c r="G45" s="1"/>
    </row>
    <row r="46" spans="1:7" x14ac:dyDescent="0.25">
      <c r="A46" s="52"/>
      <c r="B46" s="64"/>
      <c r="C46" s="64"/>
      <c r="D46" s="14" t="s">
        <v>56</v>
      </c>
      <c r="E46" s="10" t="s">
        <v>15</v>
      </c>
      <c r="F46" s="10">
        <v>92.56</v>
      </c>
      <c r="G46" s="1"/>
    </row>
    <row r="47" spans="1:7" x14ac:dyDescent="0.25">
      <c r="A47" s="52"/>
      <c r="B47" s="64"/>
      <c r="C47" s="64"/>
      <c r="D47" s="6" t="s">
        <v>26</v>
      </c>
      <c r="E47" s="7" t="s">
        <v>8</v>
      </c>
      <c r="F47" s="33">
        <f>459250+826650</f>
        <v>1285900</v>
      </c>
      <c r="G47" s="1"/>
    </row>
    <row r="48" spans="1:7" x14ac:dyDescent="0.25">
      <c r="A48" s="52"/>
      <c r="B48" s="64"/>
      <c r="C48" s="64"/>
      <c r="D48" s="5" t="s">
        <v>27</v>
      </c>
      <c r="E48" s="7" t="s">
        <v>8</v>
      </c>
      <c r="F48" s="34">
        <f>249648+138694</f>
        <v>388342</v>
      </c>
      <c r="G48" s="1"/>
    </row>
    <row r="49" spans="1:8" ht="15" customHeight="1" x14ac:dyDescent="0.25">
      <c r="A49" s="52"/>
      <c r="B49" s="64"/>
      <c r="C49" s="64"/>
      <c r="D49" s="57" t="s">
        <v>30</v>
      </c>
      <c r="E49" s="58"/>
      <c r="F49" s="59"/>
      <c r="G49" s="1"/>
    </row>
    <row r="50" spans="1:8" x14ac:dyDescent="0.25">
      <c r="A50" s="52"/>
      <c r="B50" s="64"/>
      <c r="C50" s="64"/>
      <c r="D50" s="60" t="s">
        <v>31</v>
      </c>
      <c r="E50" s="60"/>
      <c r="F50" s="60"/>
      <c r="G50" s="1"/>
    </row>
    <row r="51" spans="1:8" x14ac:dyDescent="0.25">
      <c r="A51" s="52"/>
      <c r="B51" s="64"/>
      <c r="C51" s="64"/>
      <c r="D51" s="8" t="s">
        <v>6</v>
      </c>
      <c r="E51" s="15" t="s">
        <v>2</v>
      </c>
      <c r="F51" s="16">
        <f>10818+19456</f>
        <v>30274</v>
      </c>
      <c r="G51" s="1"/>
    </row>
    <row r="52" spans="1:8" x14ac:dyDescent="0.25">
      <c r="A52" s="52"/>
      <c r="B52" s="64"/>
      <c r="C52" s="64"/>
      <c r="D52" s="8" t="s">
        <v>3</v>
      </c>
      <c r="E52" s="15" t="s">
        <v>5</v>
      </c>
      <c r="F52" s="16">
        <f>214019+119007</f>
        <v>333026</v>
      </c>
      <c r="G52" s="1"/>
      <c r="H52" s="1">
        <v>1</v>
      </c>
    </row>
    <row r="53" spans="1:8" ht="15.75" x14ac:dyDescent="0.25">
      <c r="A53" s="52"/>
      <c r="B53" s="64"/>
      <c r="C53" s="64"/>
      <c r="D53" s="8" t="s">
        <v>42</v>
      </c>
      <c r="E53" s="15" t="s">
        <v>20</v>
      </c>
      <c r="F53" s="16">
        <f>5409+9736</f>
        <v>15145</v>
      </c>
      <c r="G53" s="1"/>
    </row>
    <row r="54" spans="1:8" ht="29.25" customHeight="1" x14ac:dyDescent="0.25">
      <c r="A54" s="52"/>
      <c r="B54" s="64"/>
      <c r="C54" s="64"/>
      <c r="D54" s="57" t="s">
        <v>32</v>
      </c>
      <c r="E54" s="58"/>
      <c r="F54" s="59"/>
      <c r="G54" s="1"/>
    </row>
    <row r="55" spans="1:8" x14ac:dyDescent="0.25">
      <c r="A55" s="52"/>
      <c r="B55" s="64"/>
      <c r="C55" s="64"/>
      <c r="D55" s="50" t="s">
        <v>43</v>
      </c>
      <c r="E55" s="50"/>
      <c r="F55" s="50">
        <f>1500+15000</f>
        <v>16500</v>
      </c>
      <c r="G55" s="1"/>
      <c r="H55" s="31">
        <f>F47+F48+F51+F52+F53+F55+F60+F69+F70+F72+F76+F78</f>
        <v>4074817</v>
      </c>
    </row>
    <row r="56" spans="1:8" x14ac:dyDescent="0.25">
      <c r="A56" s="52"/>
      <c r="B56" s="64"/>
      <c r="C56" s="64"/>
      <c r="D56" s="50" t="s">
        <v>44</v>
      </c>
      <c r="E56" s="50"/>
      <c r="F56" s="50"/>
      <c r="G56" s="1"/>
    </row>
    <row r="57" spans="1:8" x14ac:dyDescent="0.25">
      <c r="A57" s="52"/>
      <c r="B57" s="64"/>
      <c r="C57" s="64"/>
      <c r="D57" s="17" t="s">
        <v>21</v>
      </c>
      <c r="E57" s="4" t="s">
        <v>22</v>
      </c>
      <c r="F57" s="23"/>
      <c r="G57" s="1"/>
    </row>
    <row r="58" spans="1:8" x14ac:dyDescent="0.25">
      <c r="A58" s="52"/>
      <c r="B58" s="64"/>
      <c r="C58" s="64"/>
      <c r="D58" s="17" t="s">
        <v>23</v>
      </c>
      <c r="E58" s="18" t="s">
        <v>16</v>
      </c>
      <c r="F58" s="10"/>
      <c r="G58" s="1"/>
    </row>
    <row r="59" spans="1:8" ht="39" x14ac:dyDescent="0.25">
      <c r="A59" s="52"/>
      <c r="B59" s="64"/>
      <c r="C59" s="64"/>
      <c r="D59" s="38" t="s">
        <v>47</v>
      </c>
      <c r="E59" s="18" t="s">
        <v>16</v>
      </c>
      <c r="F59" s="10"/>
      <c r="G59" s="1"/>
    </row>
    <row r="60" spans="1:8" x14ac:dyDescent="0.25">
      <c r="A60" s="52"/>
      <c r="B60" s="64"/>
      <c r="C60" s="64"/>
      <c r="D60" s="17" t="s">
        <v>24</v>
      </c>
      <c r="E60" s="18" t="s">
        <v>16</v>
      </c>
      <c r="F60" s="10">
        <f>25000+25000</f>
        <v>50000</v>
      </c>
      <c r="G60" s="1"/>
    </row>
    <row r="61" spans="1:8" x14ac:dyDescent="0.25">
      <c r="A61" s="52"/>
      <c r="B61" s="64"/>
      <c r="C61" s="64"/>
      <c r="D61" s="17" t="s">
        <v>45</v>
      </c>
      <c r="E61" s="18" t="s">
        <v>16</v>
      </c>
      <c r="F61" s="10"/>
      <c r="G61" s="1"/>
    </row>
    <row r="62" spans="1:8" ht="26.25" x14ac:dyDescent="0.25">
      <c r="A62" s="52"/>
      <c r="B62" s="64"/>
      <c r="C62" s="64"/>
      <c r="D62" s="38" t="s">
        <v>46</v>
      </c>
      <c r="E62" s="18" t="s">
        <v>16</v>
      </c>
      <c r="F62" s="10"/>
      <c r="G62" s="1"/>
    </row>
    <row r="63" spans="1:8" ht="38.25" customHeight="1" x14ac:dyDescent="0.25">
      <c r="A63" s="52"/>
      <c r="B63" s="64"/>
      <c r="C63" s="64"/>
      <c r="D63" s="57" t="s">
        <v>34</v>
      </c>
      <c r="E63" s="58"/>
      <c r="F63" s="59"/>
      <c r="G63" s="1"/>
    </row>
    <row r="64" spans="1:8" x14ac:dyDescent="0.25">
      <c r="A64" s="52"/>
      <c r="B64" s="64"/>
      <c r="C64" s="64"/>
      <c r="D64" s="17" t="s">
        <v>9</v>
      </c>
      <c r="E64" s="19" t="s">
        <v>18</v>
      </c>
      <c r="F64" s="23">
        <v>9</v>
      </c>
      <c r="G64" s="1"/>
    </row>
    <row r="65" spans="1:7" x14ac:dyDescent="0.25">
      <c r="A65" s="52"/>
      <c r="B65" s="64"/>
      <c r="C65" s="64"/>
      <c r="D65" s="57" t="s">
        <v>33</v>
      </c>
      <c r="E65" s="58"/>
      <c r="F65" s="59"/>
      <c r="G65" s="1"/>
    </row>
    <row r="66" spans="1:7" x14ac:dyDescent="0.25">
      <c r="A66" s="52"/>
      <c r="B66" s="64"/>
      <c r="C66" s="64"/>
      <c r="D66" s="20" t="s">
        <v>7</v>
      </c>
      <c r="E66" s="22" t="s">
        <v>25</v>
      </c>
      <c r="F66" s="23">
        <v>5</v>
      </c>
      <c r="G66" s="1"/>
    </row>
    <row r="67" spans="1:7" ht="34.5" customHeight="1" x14ac:dyDescent="0.25">
      <c r="A67" s="52"/>
      <c r="B67" s="64"/>
      <c r="C67" s="64"/>
      <c r="D67" s="60" t="s">
        <v>35</v>
      </c>
      <c r="E67" s="60"/>
      <c r="F67" s="60"/>
      <c r="G67" s="1"/>
    </row>
    <row r="68" spans="1:7" ht="26.25" x14ac:dyDescent="0.25">
      <c r="A68" s="52"/>
      <c r="B68" s="64"/>
      <c r="C68" s="64"/>
      <c r="D68" s="36" t="s">
        <v>41</v>
      </c>
      <c r="E68" s="18" t="s">
        <v>15</v>
      </c>
      <c r="F68" s="25">
        <v>46.6</v>
      </c>
      <c r="G68" s="1"/>
    </row>
    <row r="69" spans="1:7" x14ac:dyDescent="0.25">
      <c r="A69" s="52"/>
      <c r="B69" s="64"/>
      <c r="C69" s="64"/>
      <c r="D69" s="6" t="s">
        <v>26</v>
      </c>
      <c r="E69" s="7" t="s">
        <v>8</v>
      </c>
      <c r="F69" s="34">
        <f>487565+270869</f>
        <v>758434</v>
      </c>
      <c r="G69" s="1"/>
    </row>
    <row r="70" spans="1:7" x14ac:dyDescent="0.25">
      <c r="A70" s="52"/>
      <c r="B70" s="64"/>
      <c r="C70" s="64"/>
      <c r="D70" s="5" t="s">
        <v>27</v>
      </c>
      <c r="E70" s="7" t="s">
        <v>8</v>
      </c>
      <c r="F70" s="34">
        <f>81803+147245</f>
        <v>229048</v>
      </c>
      <c r="G70" s="1"/>
    </row>
    <row r="71" spans="1:7" x14ac:dyDescent="0.25">
      <c r="A71" s="52"/>
      <c r="B71" s="64"/>
      <c r="C71" s="64"/>
      <c r="D71" s="60" t="s">
        <v>36</v>
      </c>
      <c r="E71" s="60"/>
      <c r="F71" s="60"/>
      <c r="G71" s="1"/>
    </row>
    <row r="72" spans="1:7" x14ac:dyDescent="0.25">
      <c r="A72" s="52"/>
      <c r="B72" s="64"/>
      <c r="C72" s="64"/>
      <c r="D72" s="26" t="s">
        <v>19</v>
      </c>
      <c r="E72" s="27" t="s">
        <v>8</v>
      </c>
      <c r="F72" s="29">
        <f>1000+10000</f>
        <v>11000</v>
      </c>
      <c r="G72" s="1"/>
    </row>
    <row r="73" spans="1:7" x14ac:dyDescent="0.25">
      <c r="A73" s="52"/>
      <c r="B73" s="64"/>
      <c r="C73" s="64"/>
      <c r="D73" s="26" t="s">
        <v>50</v>
      </c>
      <c r="E73" s="27"/>
      <c r="F73" s="29"/>
      <c r="G73" s="1"/>
    </row>
    <row r="74" spans="1:7" ht="26.25" x14ac:dyDescent="0.25">
      <c r="A74" s="52"/>
      <c r="B74" s="64"/>
      <c r="C74" s="64"/>
      <c r="D74" s="26" t="s">
        <v>51</v>
      </c>
      <c r="E74" s="27"/>
      <c r="F74" s="29"/>
      <c r="G74" s="1"/>
    </row>
    <row r="75" spans="1:7" ht="39" x14ac:dyDescent="0.25">
      <c r="A75" s="52"/>
      <c r="B75" s="64"/>
      <c r="C75" s="64"/>
      <c r="D75" s="26" t="s">
        <v>48</v>
      </c>
      <c r="E75" s="27"/>
      <c r="F75" s="29"/>
      <c r="G75" s="1"/>
    </row>
    <row r="76" spans="1:7" x14ac:dyDescent="0.25">
      <c r="A76" s="52"/>
      <c r="B76" s="64"/>
      <c r="C76" s="64"/>
      <c r="D76" s="26" t="s">
        <v>4</v>
      </c>
      <c r="E76" s="27" t="s">
        <v>17</v>
      </c>
      <c r="F76" s="28">
        <f>10000+1500</f>
        <v>11500</v>
      </c>
      <c r="G76" s="1"/>
    </row>
    <row r="77" spans="1:7" ht="26.25" x14ac:dyDescent="0.25">
      <c r="A77" s="52"/>
      <c r="B77" s="64"/>
      <c r="C77" s="64"/>
      <c r="D77" s="26" t="s">
        <v>49</v>
      </c>
      <c r="E77" s="10" t="s">
        <v>8</v>
      </c>
      <c r="F77" s="29"/>
      <c r="G77" s="1"/>
    </row>
    <row r="78" spans="1:7" x14ac:dyDescent="0.25">
      <c r="A78" s="53"/>
      <c r="B78" s="65"/>
      <c r="C78" s="65"/>
      <c r="D78" s="26" t="s">
        <v>62</v>
      </c>
      <c r="E78" s="10" t="s">
        <v>8</v>
      </c>
      <c r="F78" s="29">
        <f>1018097-72449</f>
        <v>945648</v>
      </c>
      <c r="G78" s="1"/>
    </row>
    <row r="79" spans="1:7" ht="33.75" customHeight="1" x14ac:dyDescent="0.25">
      <c r="A79" s="51" t="s">
        <v>39</v>
      </c>
      <c r="B79" s="54" t="s">
        <v>100</v>
      </c>
      <c r="C79" s="54" t="s">
        <v>55</v>
      </c>
      <c r="D79" s="57" t="s">
        <v>28</v>
      </c>
      <c r="E79" s="58"/>
      <c r="F79" s="59"/>
      <c r="G79" s="1"/>
    </row>
    <row r="80" spans="1:7" ht="15" customHeight="1" x14ac:dyDescent="0.25">
      <c r="A80" s="52"/>
      <c r="B80" s="55"/>
      <c r="C80" s="55"/>
      <c r="D80" s="60" t="s">
        <v>29</v>
      </c>
      <c r="E80" s="60"/>
      <c r="F80" s="60"/>
      <c r="G80" s="1"/>
    </row>
    <row r="81" spans="1:8" x14ac:dyDescent="0.25">
      <c r="A81" s="52"/>
      <c r="B81" s="55"/>
      <c r="C81" s="55"/>
      <c r="D81" s="14" t="s">
        <v>56</v>
      </c>
      <c r="E81" s="10" t="s">
        <v>15</v>
      </c>
      <c r="F81" s="10">
        <v>92.56</v>
      </c>
      <c r="G81" s="1"/>
    </row>
    <row r="82" spans="1:8" x14ac:dyDescent="0.25">
      <c r="A82" s="52"/>
      <c r="B82" s="55"/>
      <c r="C82" s="55"/>
      <c r="D82" s="6" t="s">
        <v>26</v>
      </c>
      <c r="E82" s="7" t="s">
        <v>8</v>
      </c>
      <c r="F82" s="33">
        <f>17301+17301+333608+670781</f>
        <v>1038991</v>
      </c>
      <c r="G82" s="1"/>
    </row>
    <row r="83" spans="1:8" x14ac:dyDescent="0.25">
      <c r="A83" s="52"/>
      <c r="B83" s="55"/>
      <c r="C83" s="55"/>
      <c r="D83" s="5" t="s">
        <v>27</v>
      </c>
      <c r="E83" s="7" t="s">
        <v>8</v>
      </c>
      <c r="F83" s="34">
        <f>202575+100749+5224+5224</f>
        <v>313772</v>
      </c>
      <c r="G83" s="1"/>
    </row>
    <row r="84" spans="1:8" ht="15" customHeight="1" x14ac:dyDescent="0.25">
      <c r="A84" s="52"/>
      <c r="B84" s="55"/>
      <c r="C84" s="55"/>
      <c r="D84" s="57" t="s">
        <v>30</v>
      </c>
      <c r="E84" s="58"/>
      <c r="F84" s="59"/>
      <c r="G84" s="1"/>
    </row>
    <row r="85" spans="1:8" x14ac:dyDescent="0.25">
      <c r="A85" s="52"/>
      <c r="B85" s="55"/>
      <c r="C85" s="55"/>
      <c r="D85" s="60" t="s">
        <v>31</v>
      </c>
      <c r="E85" s="60"/>
      <c r="F85" s="60"/>
      <c r="G85" s="1"/>
    </row>
    <row r="86" spans="1:8" x14ac:dyDescent="0.25">
      <c r="A86" s="52"/>
      <c r="B86" s="55"/>
      <c r="C86" s="55"/>
      <c r="D86" s="8" t="s">
        <v>6</v>
      </c>
      <c r="E86" s="15" t="s">
        <v>2</v>
      </c>
      <c r="F86" s="16">
        <f>1082+1082+155904+87631</f>
        <v>245699</v>
      </c>
      <c r="G86" s="1"/>
    </row>
    <row r="87" spans="1:8" x14ac:dyDescent="0.25">
      <c r="A87" s="52"/>
      <c r="B87" s="55"/>
      <c r="C87" s="55"/>
      <c r="D87" s="8" t="s">
        <v>3</v>
      </c>
      <c r="E87" s="15" t="s">
        <v>5</v>
      </c>
      <c r="F87" s="16">
        <f>963949+116728</f>
        <v>1080677</v>
      </c>
      <c r="G87" s="1"/>
    </row>
    <row r="88" spans="1:8" ht="15.75" x14ac:dyDescent="0.25">
      <c r="A88" s="52"/>
      <c r="B88" s="55"/>
      <c r="C88" s="55"/>
      <c r="D88" s="8" t="s">
        <v>42</v>
      </c>
      <c r="E88" s="15" t="s">
        <v>20</v>
      </c>
      <c r="F88" s="16">
        <f>71+71+11359+43815</f>
        <v>55316</v>
      </c>
      <c r="G88" s="1"/>
    </row>
    <row r="89" spans="1:8" ht="39.75" customHeight="1" x14ac:dyDescent="0.25">
      <c r="A89" s="52"/>
      <c r="B89" s="55"/>
      <c r="C89" s="55"/>
      <c r="D89" s="57" t="s">
        <v>32</v>
      </c>
      <c r="E89" s="58"/>
      <c r="F89" s="59"/>
      <c r="G89" s="1"/>
    </row>
    <row r="90" spans="1:8" x14ac:dyDescent="0.25">
      <c r="A90" s="52"/>
      <c r="B90" s="55"/>
      <c r="C90" s="55"/>
      <c r="D90" s="48" t="s">
        <v>43</v>
      </c>
      <c r="E90" s="48"/>
      <c r="F90" s="48"/>
      <c r="G90" s="1"/>
    </row>
    <row r="91" spans="1:8" x14ac:dyDescent="0.25">
      <c r="A91" s="52"/>
      <c r="B91" s="55"/>
      <c r="C91" s="55"/>
      <c r="D91" s="48" t="s">
        <v>44</v>
      </c>
      <c r="E91" s="48"/>
      <c r="F91" s="48"/>
      <c r="G91" s="1"/>
    </row>
    <row r="92" spans="1:8" x14ac:dyDescent="0.25">
      <c r="A92" s="52"/>
      <c r="B92" s="55"/>
      <c r="C92" s="55"/>
      <c r="D92" s="17" t="s">
        <v>21</v>
      </c>
      <c r="E92" s="4" t="s">
        <v>22</v>
      </c>
      <c r="F92" s="23">
        <v>15000</v>
      </c>
      <c r="G92" s="1"/>
    </row>
    <row r="93" spans="1:8" x14ac:dyDescent="0.25">
      <c r="A93" s="52"/>
      <c r="B93" s="55"/>
      <c r="C93" s="55"/>
      <c r="D93" s="17" t="s">
        <v>23</v>
      </c>
      <c r="E93" s="18" t="s">
        <v>16</v>
      </c>
      <c r="F93" s="10"/>
      <c r="G93" s="1"/>
    </row>
    <row r="94" spans="1:8" ht="39" x14ac:dyDescent="0.25">
      <c r="A94" s="52"/>
      <c r="B94" s="55"/>
      <c r="C94" s="55"/>
      <c r="D94" s="38" t="s">
        <v>47</v>
      </c>
      <c r="E94" s="18" t="s">
        <v>16</v>
      </c>
      <c r="F94" s="10"/>
      <c r="G94" s="1">
        <v>1</v>
      </c>
    </row>
    <row r="95" spans="1:8" x14ac:dyDescent="0.25">
      <c r="A95" s="52"/>
      <c r="B95" s="55"/>
      <c r="C95" s="55"/>
      <c r="D95" s="17" t="s">
        <v>24</v>
      </c>
      <c r="E95" s="18" t="s">
        <v>16</v>
      </c>
      <c r="F95" s="10">
        <f>15000+25000</f>
        <v>40000</v>
      </c>
      <c r="G95" s="1"/>
      <c r="H95" s="31">
        <f>F82+F83+F86+F87+F88+F92+F95+F104+F105+F107+F113</f>
        <v>3930402</v>
      </c>
    </row>
    <row r="96" spans="1:8" x14ac:dyDescent="0.25">
      <c r="A96" s="52"/>
      <c r="B96" s="55"/>
      <c r="C96" s="55"/>
      <c r="D96" s="17" t="s">
        <v>45</v>
      </c>
      <c r="E96" s="18" t="s">
        <v>16</v>
      </c>
      <c r="F96" s="10"/>
      <c r="G96" s="1"/>
    </row>
    <row r="97" spans="1:8" ht="26.25" x14ac:dyDescent="0.25">
      <c r="A97" s="52"/>
      <c r="B97" s="55"/>
      <c r="C97" s="55"/>
      <c r="D97" s="38" t="s">
        <v>46</v>
      </c>
      <c r="E97" s="18" t="s">
        <v>16</v>
      </c>
      <c r="F97" s="10"/>
      <c r="G97" s="1"/>
      <c r="H97" s="31">
        <f>F82+F83+F86+F87+F88+F92+F95+F104+F105+F107+F113</f>
        <v>3930402</v>
      </c>
    </row>
    <row r="98" spans="1:8" ht="39.75" customHeight="1" x14ac:dyDescent="0.25">
      <c r="A98" s="52"/>
      <c r="B98" s="55"/>
      <c r="C98" s="55"/>
      <c r="D98" s="57" t="s">
        <v>34</v>
      </c>
      <c r="E98" s="58"/>
      <c r="F98" s="59"/>
      <c r="G98" s="1"/>
    </row>
    <row r="99" spans="1:8" x14ac:dyDescent="0.25">
      <c r="A99" s="52"/>
      <c r="B99" s="55"/>
      <c r="C99" s="55"/>
      <c r="D99" s="17" t="s">
        <v>9</v>
      </c>
      <c r="E99" s="19" t="s">
        <v>18</v>
      </c>
      <c r="F99" s="23">
        <v>9</v>
      </c>
      <c r="G99" s="1"/>
      <c r="H99" s="31">
        <f>F82+F83+F86+F87+F88+F90+F95+F104+F105+F107+F111+F113</f>
        <v>3915402</v>
      </c>
    </row>
    <row r="100" spans="1:8" x14ac:dyDescent="0.25">
      <c r="A100" s="52"/>
      <c r="B100" s="55"/>
      <c r="C100" s="55"/>
      <c r="D100" s="57" t="s">
        <v>33</v>
      </c>
      <c r="E100" s="58"/>
      <c r="F100" s="59"/>
      <c r="G100" s="1"/>
    </row>
    <row r="101" spans="1:8" x14ac:dyDescent="0.25">
      <c r="A101" s="52"/>
      <c r="B101" s="55"/>
      <c r="C101" s="55"/>
      <c r="D101" s="20" t="s">
        <v>7</v>
      </c>
      <c r="E101" s="22" t="s">
        <v>25</v>
      </c>
      <c r="F101" s="23">
        <v>5</v>
      </c>
      <c r="G101" s="1"/>
    </row>
    <row r="102" spans="1:8" ht="29.25" customHeight="1" x14ac:dyDescent="0.25">
      <c r="A102" s="52"/>
      <c r="B102" s="55"/>
      <c r="C102" s="55"/>
      <c r="D102" s="60" t="s">
        <v>35</v>
      </c>
      <c r="E102" s="60"/>
      <c r="F102" s="60"/>
      <c r="G102" s="1"/>
    </row>
    <row r="103" spans="1:8" ht="26.25" x14ac:dyDescent="0.25">
      <c r="A103" s="52"/>
      <c r="B103" s="55"/>
      <c r="C103" s="55"/>
      <c r="D103" s="36" t="s">
        <v>41</v>
      </c>
      <c r="E103" s="18" t="s">
        <v>15</v>
      </c>
      <c r="F103" s="25">
        <v>46.6</v>
      </c>
      <c r="G103" s="1"/>
    </row>
    <row r="104" spans="1:8" x14ac:dyDescent="0.25">
      <c r="A104" s="52"/>
      <c r="B104" s="55"/>
      <c r="C104" s="55"/>
      <c r="D104" s="6" t="s">
        <v>26</v>
      </c>
      <c r="E104" s="7" t="s">
        <v>8</v>
      </c>
      <c r="F104" s="34">
        <f>2773+2773+149675+475328</f>
        <v>630549</v>
      </c>
      <c r="G104" s="1"/>
    </row>
    <row r="105" spans="1:8" x14ac:dyDescent="0.25">
      <c r="A105" s="52"/>
      <c r="B105" s="55"/>
      <c r="C105" s="55"/>
      <c r="D105" s="5" t="s">
        <v>27</v>
      </c>
      <c r="E105" s="7" t="s">
        <v>8</v>
      </c>
      <c r="F105" s="34">
        <f>143550+45202+837+837</f>
        <v>190426</v>
      </c>
      <c r="G105" s="1"/>
    </row>
    <row r="106" spans="1:8" x14ac:dyDescent="0.25">
      <c r="A106" s="52"/>
      <c r="B106" s="55"/>
      <c r="C106" s="55"/>
      <c r="D106" s="60" t="s">
        <v>36</v>
      </c>
      <c r="E106" s="60"/>
      <c r="F106" s="60"/>
      <c r="G106" s="1"/>
    </row>
    <row r="107" spans="1:8" x14ac:dyDescent="0.25">
      <c r="A107" s="52"/>
      <c r="B107" s="55"/>
      <c r="C107" s="55"/>
      <c r="D107" s="26" t="s">
        <v>19</v>
      </c>
      <c r="E107" s="27" t="s">
        <v>8</v>
      </c>
      <c r="F107" s="29">
        <f>15000+10000</f>
        <v>25000</v>
      </c>
      <c r="G107" s="1"/>
    </row>
    <row r="108" spans="1:8" x14ac:dyDescent="0.25">
      <c r="A108" s="52"/>
      <c r="B108" s="55"/>
      <c r="C108" s="55"/>
      <c r="D108" s="26" t="s">
        <v>50</v>
      </c>
      <c r="E108" s="27"/>
      <c r="F108" s="29"/>
      <c r="G108" s="1"/>
    </row>
    <row r="109" spans="1:8" ht="26.25" x14ac:dyDescent="0.25">
      <c r="A109" s="52"/>
      <c r="B109" s="55"/>
      <c r="C109" s="55"/>
      <c r="D109" s="26" t="s">
        <v>51</v>
      </c>
      <c r="E109" s="27"/>
      <c r="F109" s="29"/>
      <c r="G109" s="1"/>
    </row>
    <row r="110" spans="1:8" ht="39" x14ac:dyDescent="0.25">
      <c r="A110" s="52"/>
      <c r="B110" s="55"/>
      <c r="C110" s="55"/>
      <c r="D110" s="26" t="s">
        <v>48</v>
      </c>
      <c r="E110" s="27"/>
      <c r="F110" s="29"/>
      <c r="G110" s="1"/>
    </row>
    <row r="111" spans="1:8" x14ac:dyDescent="0.25">
      <c r="A111" s="52"/>
      <c r="B111" s="55"/>
      <c r="C111" s="55"/>
      <c r="D111" s="26" t="s">
        <v>4</v>
      </c>
      <c r="E111" s="27" t="s">
        <v>17</v>
      </c>
      <c r="F111" s="28"/>
      <c r="G111" s="1"/>
    </row>
    <row r="112" spans="1:8" ht="26.25" x14ac:dyDescent="0.25">
      <c r="A112" s="52"/>
      <c r="B112" s="55"/>
      <c r="C112" s="55"/>
      <c r="D112" s="26" t="s">
        <v>49</v>
      </c>
      <c r="E112" s="10" t="s">
        <v>8</v>
      </c>
      <c r="F112" s="29"/>
      <c r="G112" s="1"/>
    </row>
    <row r="113" spans="1:26" x14ac:dyDescent="0.25">
      <c r="A113" s="53"/>
      <c r="B113" s="56"/>
      <c r="C113" s="56"/>
      <c r="D113" s="26" t="s">
        <v>62</v>
      </c>
      <c r="E113" s="10" t="s">
        <v>8</v>
      </c>
      <c r="F113" s="29">
        <v>294972</v>
      </c>
      <c r="G113" s="1"/>
    </row>
    <row r="114" spans="1:26" s="3" customFormat="1" ht="22.5" customHeight="1" x14ac:dyDescent="0.25">
      <c r="A114" s="51" t="s">
        <v>101</v>
      </c>
      <c r="B114" s="54" t="s">
        <v>102</v>
      </c>
      <c r="C114" s="54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52"/>
      <c r="B115" s="55"/>
      <c r="C115" s="55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52"/>
      <c r="B116" s="55"/>
      <c r="C116" s="55"/>
      <c r="D116" s="14" t="s">
        <v>40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52"/>
      <c r="B117" s="55"/>
      <c r="C117" s="55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52"/>
      <c r="B118" s="55"/>
      <c r="C118" s="55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52"/>
      <c r="B119" s="55"/>
      <c r="C119" s="55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52"/>
      <c r="B120" s="55"/>
      <c r="C120" s="55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52"/>
      <c r="B121" s="55"/>
      <c r="C121" s="55"/>
      <c r="D121" s="8" t="s">
        <v>6</v>
      </c>
      <c r="E121" s="15" t="s">
        <v>2</v>
      </c>
      <c r="F121" s="16">
        <v>19456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52"/>
      <c r="B122" s="55"/>
      <c r="C122" s="55"/>
      <c r="D122" s="8" t="s">
        <v>3</v>
      </c>
      <c r="E122" s="15" t="s">
        <v>5</v>
      </c>
      <c r="F122" s="16">
        <v>214019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ht="15.75" x14ac:dyDescent="0.25">
      <c r="A123" s="52"/>
      <c r="B123" s="55"/>
      <c r="C123" s="55"/>
      <c r="D123" s="8" t="s">
        <v>42</v>
      </c>
      <c r="E123" s="15" t="s">
        <v>20</v>
      </c>
      <c r="F123" s="16">
        <v>9736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29.25" customHeight="1" x14ac:dyDescent="0.25">
      <c r="A124" s="52"/>
      <c r="B124" s="55"/>
      <c r="C124" s="55"/>
      <c r="D124" s="57" t="s">
        <v>32</v>
      </c>
      <c r="E124" s="58"/>
      <c r="F124" s="59"/>
      <c r="G124" s="1">
        <v>21</v>
      </c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52"/>
      <c r="B125" s="55"/>
      <c r="C125" s="55"/>
      <c r="D125" s="45" t="s">
        <v>43</v>
      </c>
      <c r="E125" s="45"/>
      <c r="F125" s="45">
        <v>15000</v>
      </c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52"/>
      <c r="B126" s="55"/>
      <c r="C126" s="55"/>
      <c r="D126" s="45" t="s">
        <v>44</v>
      </c>
      <c r="E126" s="45"/>
      <c r="F126" s="4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52"/>
      <c r="B127" s="55"/>
      <c r="C127" s="55"/>
      <c r="D127" s="17" t="s">
        <v>21</v>
      </c>
      <c r="E127" s="4" t="s">
        <v>22</v>
      </c>
      <c r="F127" s="23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52"/>
      <c r="B128" s="55"/>
      <c r="C128" s="55"/>
      <c r="D128" s="17" t="s">
        <v>23</v>
      </c>
      <c r="E128" s="18" t="s">
        <v>16</v>
      </c>
      <c r="F128" s="10"/>
      <c r="G128" s="1"/>
      <c r="H128" s="47">
        <f>F121+F122+F123+F125+F130+F139+F140+F148</f>
        <v>1212993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52"/>
      <c r="B129" s="55"/>
      <c r="C129" s="55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52"/>
      <c r="B130" s="55"/>
      <c r="C130" s="55"/>
      <c r="D130" s="17" t="s">
        <v>24</v>
      </c>
      <c r="E130" s="18"/>
      <c r="F130" s="10">
        <v>25000</v>
      </c>
      <c r="G130" s="1"/>
      <c r="H130" s="1">
        <f>7937090-2740091</f>
        <v>5196999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52"/>
      <c r="B131" s="55"/>
      <c r="C131" s="55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52"/>
      <c r="B132" s="55"/>
      <c r="C132" s="55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29.25" customHeight="1" x14ac:dyDescent="0.25">
      <c r="A133" s="52"/>
      <c r="B133" s="55"/>
      <c r="C133" s="55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52"/>
      <c r="B134" s="55"/>
      <c r="C134" s="55"/>
      <c r="D134" s="17" t="s">
        <v>9</v>
      </c>
      <c r="E134" s="19" t="s">
        <v>18</v>
      </c>
      <c r="F134" s="23">
        <v>9</v>
      </c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52"/>
      <c r="B135" s="55"/>
      <c r="C135" s="55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52"/>
      <c r="B136" s="55"/>
      <c r="C136" s="55"/>
      <c r="D136" s="20" t="s">
        <v>7</v>
      </c>
      <c r="E136" s="22" t="s">
        <v>25</v>
      </c>
      <c r="F136" s="23">
        <v>5</v>
      </c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0" customHeight="1" x14ac:dyDescent="0.25">
      <c r="A137" s="52"/>
      <c r="B137" s="55"/>
      <c r="C137" s="55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52"/>
      <c r="B138" s="55"/>
      <c r="C138" s="55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52"/>
      <c r="B139" s="55"/>
      <c r="C139" s="55"/>
      <c r="D139" s="6" t="s">
        <v>26</v>
      </c>
      <c r="E139" s="7" t="s">
        <v>8</v>
      </c>
      <c r="F139" s="34">
        <v>487565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52"/>
      <c r="B140" s="55"/>
      <c r="C140" s="55"/>
      <c r="D140" s="5" t="s">
        <v>27</v>
      </c>
      <c r="E140" s="7" t="s">
        <v>8</v>
      </c>
      <c r="F140" s="34">
        <v>147245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52"/>
      <c r="B141" s="55"/>
      <c r="C141" s="55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52"/>
      <c r="B142" s="55"/>
      <c r="C142" s="55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52"/>
      <c r="B143" s="55"/>
      <c r="C143" s="55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x14ac:dyDescent="0.25">
      <c r="A144" s="52"/>
      <c r="B144" s="55"/>
      <c r="C144" s="55"/>
      <c r="D144" s="26" t="s">
        <v>52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52"/>
      <c r="B145" s="55"/>
      <c r="C145" s="55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52"/>
      <c r="B146" s="55"/>
      <c r="C146" s="55"/>
      <c r="D146" s="26" t="s">
        <v>4</v>
      </c>
      <c r="E146" s="27" t="s">
        <v>17</v>
      </c>
      <c r="F146" s="29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52"/>
      <c r="B147" s="55"/>
      <c r="C147" s="55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53"/>
      <c r="B148" s="56"/>
      <c r="C148" s="56"/>
      <c r="D148" s="26" t="s">
        <v>62</v>
      </c>
      <c r="E148" s="10" t="s">
        <v>8</v>
      </c>
      <c r="F148" s="29">
        <v>294972</v>
      </c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51" spans="1:26" x14ac:dyDescent="0.25">
      <c r="F151" s="43">
        <f>H24+H55+H95++H128</f>
        <v>17675975</v>
      </c>
    </row>
    <row r="152" spans="1:26" x14ac:dyDescent="0.25">
      <c r="H152" s="31" t="e">
        <f>#REF!+#REF!+#REF!+#REF!+#REF!</f>
        <v>#REF!</v>
      </c>
    </row>
  </sheetData>
  <mergeCells count="51">
    <mergeCell ref="E1:F1"/>
    <mergeCell ref="E2:F2"/>
    <mergeCell ref="A5:F5"/>
    <mergeCell ref="D14:F14"/>
    <mergeCell ref="D15:F15"/>
    <mergeCell ref="D19:F19"/>
    <mergeCell ref="D28:F28"/>
    <mergeCell ref="D30:F30"/>
    <mergeCell ref="D32:F32"/>
    <mergeCell ref="A9:A43"/>
    <mergeCell ref="B9:B43"/>
    <mergeCell ref="C9:C43"/>
    <mergeCell ref="D9:F9"/>
    <mergeCell ref="D10:F10"/>
    <mergeCell ref="D36:F36"/>
    <mergeCell ref="A44:A78"/>
    <mergeCell ref="B44:B78"/>
    <mergeCell ref="C44:C78"/>
    <mergeCell ref="D44:F44"/>
    <mergeCell ref="D45:F45"/>
    <mergeCell ref="D49:F49"/>
    <mergeCell ref="D50:F50"/>
    <mergeCell ref="D54:F54"/>
    <mergeCell ref="D63:F63"/>
    <mergeCell ref="D65:F65"/>
    <mergeCell ref="D67:F67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D100:F100"/>
    <mergeCell ref="D102:F102"/>
    <mergeCell ref="D106:F106"/>
    <mergeCell ref="D141:F141"/>
    <mergeCell ref="A114:A148"/>
    <mergeCell ref="B114:B148"/>
    <mergeCell ref="C114:C148"/>
    <mergeCell ref="D124:F124"/>
    <mergeCell ref="D133:F133"/>
    <mergeCell ref="D135:F135"/>
    <mergeCell ref="D137:F137"/>
    <mergeCell ref="D119:F119"/>
    <mergeCell ref="D120:F120"/>
    <mergeCell ref="D114:F114"/>
    <mergeCell ref="D115:F115"/>
  </mergeCells>
  <pageMargins left="0.14000000000000001" right="0.15748031496062992" top="0.33" bottom="0.35433070866141736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28"/>
  <sheetViews>
    <sheetView topLeftCell="A15" workbookViewId="0">
      <selection activeCell="D125" sqref="D125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3.140625" style="1" customWidth="1"/>
    <col min="9" max="9" width="12.42578125" style="1" bestFit="1" customWidth="1"/>
    <col min="10" max="10" width="10" style="1" bestFit="1" customWidth="1"/>
    <col min="11" max="11" width="15" style="1" customWidth="1"/>
    <col min="12" max="12" width="8.7109375" style="1" customWidth="1"/>
    <col min="13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58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59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51" t="s">
        <v>60</v>
      </c>
      <c r="B9" s="63" t="s">
        <v>83</v>
      </c>
      <c r="C9" s="63" t="s">
        <v>55</v>
      </c>
      <c r="D9" s="57" t="s">
        <v>28</v>
      </c>
      <c r="E9" s="58"/>
      <c r="F9" s="59"/>
      <c r="G9" s="1"/>
    </row>
    <row r="10" spans="1:12" x14ac:dyDescent="0.25">
      <c r="A10" s="52"/>
      <c r="B10" s="64"/>
      <c r="C10" s="64"/>
      <c r="D10" s="60" t="s">
        <v>29</v>
      </c>
      <c r="E10" s="60"/>
      <c r="F10" s="60"/>
      <c r="G10" s="1"/>
    </row>
    <row r="11" spans="1:12" x14ac:dyDescent="0.25">
      <c r="A11" s="52"/>
      <c r="B11" s="64"/>
      <c r="C11" s="64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52"/>
      <c r="B12" s="64"/>
      <c r="C12" s="64"/>
      <c r="D12" s="6" t="s">
        <v>26</v>
      </c>
      <c r="E12" s="7" t="s">
        <v>8</v>
      </c>
      <c r="F12" s="33">
        <f>2822076-864556+1392528+0.42-793651-396826</f>
        <v>2159571.42</v>
      </c>
      <c r="G12" s="1"/>
    </row>
    <row r="13" spans="1:12" x14ac:dyDescent="0.25">
      <c r="A13" s="52"/>
      <c r="B13" s="64"/>
      <c r="C13" s="64"/>
      <c r="D13" s="5" t="s">
        <v>27</v>
      </c>
      <c r="E13" s="7" t="s">
        <v>8</v>
      </c>
      <c r="F13" s="34">
        <f>852267-261096+420543.58-239682-119841.43</f>
        <v>652191.15000000014</v>
      </c>
      <c r="G13" s="1"/>
    </row>
    <row r="14" spans="1:12" x14ac:dyDescent="0.25">
      <c r="A14" s="52"/>
      <c r="B14" s="64"/>
      <c r="C14" s="64"/>
      <c r="D14" s="57" t="s">
        <v>30</v>
      </c>
      <c r="E14" s="58"/>
      <c r="F14" s="59"/>
      <c r="G14" s="1"/>
      <c r="H14" s="31">
        <f>F12+F13+F16+F17+F18</f>
        <v>4164102.5700000003</v>
      </c>
    </row>
    <row r="15" spans="1:12" x14ac:dyDescent="0.25">
      <c r="A15" s="52"/>
      <c r="B15" s="64"/>
      <c r="C15" s="64"/>
      <c r="D15" s="60" t="s">
        <v>31</v>
      </c>
      <c r="E15" s="60"/>
      <c r="F15" s="60"/>
      <c r="G15" s="1"/>
    </row>
    <row r="16" spans="1:12" x14ac:dyDescent="0.25">
      <c r="A16" s="52"/>
      <c r="B16" s="64"/>
      <c r="C16" s="64"/>
      <c r="D16" s="8" t="s">
        <v>6</v>
      </c>
      <c r="E16" s="15" t="s">
        <v>2</v>
      </c>
      <c r="F16" s="16">
        <v>645000</v>
      </c>
      <c r="G16" s="1"/>
    </row>
    <row r="17" spans="1:11" x14ac:dyDescent="0.25">
      <c r="A17" s="52"/>
      <c r="B17" s="64"/>
      <c r="C17" s="64"/>
      <c r="D17" s="8" t="s">
        <v>3</v>
      </c>
      <c r="E17" s="15" t="s">
        <v>5</v>
      </c>
      <c r="F17" s="16">
        <v>591340</v>
      </c>
      <c r="G17" s="1"/>
      <c r="H17" s="1">
        <f>7055191-5026683-F20-F21-F22-F23-F24-F25-F26-F27-F29-F31</f>
        <v>1944494</v>
      </c>
    </row>
    <row r="18" spans="1:11" ht="15.75" x14ac:dyDescent="0.25">
      <c r="A18" s="52"/>
      <c r="B18" s="64"/>
      <c r="C18" s="64"/>
      <c r="D18" s="8" t="s">
        <v>42</v>
      </c>
      <c r="E18" s="15" t="s">
        <v>20</v>
      </c>
      <c r="F18" s="16">
        <v>116000</v>
      </c>
      <c r="G18" s="1"/>
    </row>
    <row r="19" spans="1:11" ht="34.5" customHeight="1" x14ac:dyDescent="0.25">
      <c r="A19" s="52"/>
      <c r="B19" s="64"/>
      <c r="C19" s="64"/>
      <c r="D19" s="57" t="s">
        <v>32</v>
      </c>
      <c r="E19" s="58"/>
      <c r="F19" s="59"/>
      <c r="G19" s="1"/>
    </row>
    <row r="20" spans="1:11" x14ac:dyDescent="0.25">
      <c r="A20" s="52"/>
      <c r="B20" s="64"/>
      <c r="C20" s="64"/>
      <c r="D20" s="40" t="s">
        <v>43</v>
      </c>
      <c r="E20" s="40"/>
      <c r="F20" s="40"/>
      <c r="G20" s="1"/>
    </row>
    <row r="21" spans="1:11" x14ac:dyDescent="0.25">
      <c r="A21" s="52"/>
      <c r="B21" s="64"/>
      <c r="C21" s="64"/>
      <c r="D21" s="40" t="s">
        <v>44</v>
      </c>
      <c r="E21" s="40"/>
      <c r="F21" s="40">
        <v>15000</v>
      </c>
      <c r="G21" s="1"/>
    </row>
    <row r="22" spans="1:11" x14ac:dyDescent="0.25">
      <c r="A22" s="52"/>
      <c r="B22" s="64"/>
      <c r="C22" s="64"/>
      <c r="D22" s="17" t="s">
        <v>21</v>
      </c>
      <c r="E22" s="4" t="s">
        <v>22</v>
      </c>
      <c r="F22" s="23"/>
      <c r="G22" s="1"/>
    </row>
    <row r="23" spans="1:11" x14ac:dyDescent="0.25">
      <c r="A23" s="52"/>
      <c r="B23" s="64"/>
      <c r="C23" s="64"/>
      <c r="D23" s="17" t="s">
        <v>23</v>
      </c>
      <c r="E23" s="18" t="s">
        <v>16</v>
      </c>
      <c r="F23" s="10">
        <v>45000</v>
      </c>
      <c r="G23" s="1"/>
      <c r="K23" s="31">
        <f>F11+F12+F13+F16+F17+F18+F21+F23+F24+F34+F35+F40+F41+F43</f>
        <v>5505269.1299999999</v>
      </c>
    </row>
    <row r="24" spans="1:11" ht="39" x14ac:dyDescent="0.25">
      <c r="A24" s="52"/>
      <c r="B24" s="64"/>
      <c r="C24" s="64"/>
      <c r="D24" s="38" t="s">
        <v>47</v>
      </c>
      <c r="E24" s="18" t="s">
        <v>16</v>
      </c>
      <c r="F24" s="10">
        <v>24000</v>
      </c>
      <c r="G24" s="1"/>
    </row>
    <row r="25" spans="1:11" x14ac:dyDescent="0.25">
      <c r="A25" s="52"/>
      <c r="B25" s="64"/>
      <c r="C25" s="64"/>
      <c r="D25" s="17" t="s">
        <v>24</v>
      </c>
      <c r="E25" s="18" t="s">
        <v>16</v>
      </c>
      <c r="F25" s="10"/>
      <c r="G25" s="1"/>
    </row>
    <row r="26" spans="1:11" x14ac:dyDescent="0.25">
      <c r="A26" s="52"/>
      <c r="B26" s="64"/>
      <c r="C26" s="64"/>
      <c r="D26" s="17" t="s">
        <v>45</v>
      </c>
      <c r="E26" s="18" t="s">
        <v>16</v>
      </c>
      <c r="F26" s="10"/>
      <c r="G26" s="1"/>
    </row>
    <row r="27" spans="1:11" ht="26.25" x14ac:dyDescent="0.25">
      <c r="A27" s="52"/>
      <c r="B27" s="64"/>
      <c r="C27" s="64"/>
      <c r="D27" s="38" t="s">
        <v>46</v>
      </c>
      <c r="E27" s="18" t="s">
        <v>16</v>
      </c>
      <c r="F27" s="10"/>
      <c r="G27" s="1"/>
      <c r="H27" s="46">
        <f>F12+F13+F16+F17+F18+F21+F23+F24+F34+F35+F40+F41+F43</f>
        <v>5505176.5700000003</v>
      </c>
    </row>
    <row r="28" spans="1:11" ht="29.25" customHeight="1" x14ac:dyDescent="0.25">
      <c r="A28" s="52"/>
      <c r="B28" s="64"/>
      <c r="C28" s="64"/>
      <c r="D28" s="57" t="s">
        <v>34</v>
      </c>
      <c r="E28" s="58"/>
      <c r="F28" s="59"/>
      <c r="G28" s="1"/>
    </row>
    <row r="29" spans="1:11" x14ac:dyDescent="0.25">
      <c r="A29" s="52"/>
      <c r="B29" s="64"/>
      <c r="C29" s="64"/>
      <c r="D29" s="17" t="s">
        <v>9</v>
      </c>
      <c r="E29" s="19" t="s">
        <v>18</v>
      </c>
      <c r="F29" s="23">
        <v>9</v>
      </c>
      <c r="G29" s="1"/>
    </row>
    <row r="30" spans="1:11" x14ac:dyDescent="0.25">
      <c r="A30" s="52"/>
      <c r="B30" s="64"/>
      <c r="C30" s="64"/>
      <c r="D30" s="57" t="s">
        <v>33</v>
      </c>
      <c r="E30" s="58"/>
      <c r="F30" s="59"/>
      <c r="G30" s="1"/>
    </row>
    <row r="31" spans="1:11" x14ac:dyDescent="0.25">
      <c r="A31" s="52"/>
      <c r="B31" s="64"/>
      <c r="C31" s="64"/>
      <c r="D31" s="20" t="s">
        <v>7</v>
      </c>
      <c r="E31" s="22" t="s">
        <v>25</v>
      </c>
      <c r="F31" s="23">
        <v>5</v>
      </c>
      <c r="G31" s="1"/>
    </row>
    <row r="32" spans="1:11" ht="30" customHeight="1" x14ac:dyDescent="0.25">
      <c r="A32" s="52"/>
      <c r="B32" s="64"/>
      <c r="C32" s="64"/>
      <c r="D32" s="60" t="s">
        <v>35</v>
      </c>
      <c r="E32" s="60"/>
      <c r="F32" s="60"/>
      <c r="G32" s="1"/>
      <c r="H32" s="31">
        <f>F12+F13+F16+F17+F18+F20+F21+F22+F23+F24+F25+F26+F27+F29+F31+F34+F35+F37+F38+F40+F41+F43</f>
        <v>5505190.5700000003</v>
      </c>
    </row>
    <row r="33" spans="1:7" ht="26.25" x14ac:dyDescent="0.25">
      <c r="A33" s="52"/>
      <c r="B33" s="64"/>
      <c r="C33" s="64"/>
      <c r="D33" s="36" t="s">
        <v>41</v>
      </c>
      <c r="E33" s="18" t="s">
        <v>15</v>
      </c>
      <c r="F33" s="25">
        <v>46.6</v>
      </c>
      <c r="G33" s="1"/>
    </row>
    <row r="34" spans="1:7" x14ac:dyDescent="0.25">
      <c r="A34" s="52"/>
      <c r="B34" s="64"/>
      <c r="C34" s="64"/>
      <c r="D34" s="6" t="s">
        <v>26</v>
      </c>
      <c r="E34" s="7" t="s">
        <v>8</v>
      </c>
      <c r="F34" s="34">
        <v>928353</v>
      </c>
      <c r="G34" s="1"/>
    </row>
    <row r="35" spans="1:7" x14ac:dyDescent="0.25">
      <c r="A35" s="52"/>
      <c r="B35" s="64"/>
      <c r="C35" s="64"/>
      <c r="D35" s="5" t="s">
        <v>27</v>
      </c>
      <c r="E35" s="7" t="s">
        <v>8</v>
      </c>
      <c r="F35" s="34">
        <v>280363</v>
      </c>
      <c r="G35" s="1"/>
    </row>
    <row r="36" spans="1:7" x14ac:dyDescent="0.25">
      <c r="A36" s="52"/>
      <c r="B36" s="64"/>
      <c r="C36" s="64"/>
      <c r="D36" s="60" t="s">
        <v>36</v>
      </c>
      <c r="E36" s="60"/>
      <c r="F36" s="60"/>
      <c r="G36" s="1"/>
    </row>
    <row r="37" spans="1:7" x14ac:dyDescent="0.25">
      <c r="A37" s="52"/>
      <c r="B37" s="64"/>
      <c r="C37" s="64"/>
      <c r="D37" s="26" t="s">
        <v>19</v>
      </c>
      <c r="E37" s="27" t="s">
        <v>8</v>
      </c>
      <c r="F37" s="29"/>
      <c r="G37" s="1"/>
    </row>
    <row r="38" spans="1:7" x14ac:dyDescent="0.25">
      <c r="A38" s="52"/>
      <c r="B38" s="64"/>
      <c r="C38" s="64"/>
      <c r="D38" s="26" t="s">
        <v>50</v>
      </c>
      <c r="E38" s="27"/>
      <c r="F38" s="29"/>
      <c r="G38" s="1"/>
    </row>
    <row r="39" spans="1:7" ht="26.25" x14ac:dyDescent="0.25">
      <c r="A39" s="52"/>
      <c r="B39" s="64"/>
      <c r="C39" s="64"/>
      <c r="D39" s="26" t="s">
        <v>51</v>
      </c>
      <c r="E39" s="27"/>
      <c r="F39" s="29"/>
      <c r="G39" s="1"/>
    </row>
    <row r="40" spans="1:7" ht="39" x14ac:dyDescent="0.25">
      <c r="A40" s="52"/>
      <c r="B40" s="64"/>
      <c r="C40" s="64"/>
      <c r="D40" s="26" t="s">
        <v>48</v>
      </c>
      <c r="E40" s="27"/>
      <c r="F40" s="29">
        <v>1680</v>
      </c>
      <c r="G40" s="1"/>
    </row>
    <row r="41" spans="1:7" x14ac:dyDescent="0.25">
      <c r="A41" s="52"/>
      <c r="B41" s="64"/>
      <c r="C41" s="64"/>
      <c r="D41" s="26" t="s">
        <v>4</v>
      </c>
      <c r="E41" s="27" t="s">
        <v>17</v>
      </c>
      <c r="F41" s="28">
        <v>10</v>
      </c>
      <c r="G41" s="1"/>
    </row>
    <row r="42" spans="1:7" ht="26.25" x14ac:dyDescent="0.25">
      <c r="A42" s="52"/>
      <c r="B42" s="64"/>
      <c r="C42" s="64"/>
      <c r="D42" s="26" t="s">
        <v>49</v>
      </c>
      <c r="E42" s="10" t="s">
        <v>8</v>
      </c>
      <c r="F42" s="29"/>
      <c r="G42" s="1"/>
    </row>
    <row r="43" spans="1:7" x14ac:dyDescent="0.25">
      <c r="A43" s="53"/>
      <c r="B43" s="65"/>
      <c r="C43" s="65"/>
      <c r="D43" s="26" t="s">
        <v>24</v>
      </c>
      <c r="E43" s="10" t="s">
        <v>8</v>
      </c>
      <c r="F43" s="29">
        <v>46668</v>
      </c>
      <c r="G43" s="1"/>
    </row>
    <row r="44" spans="1:7" ht="15" customHeight="1" x14ac:dyDescent="0.25">
      <c r="A44" s="51" t="s">
        <v>60</v>
      </c>
      <c r="B44" s="63" t="s">
        <v>84</v>
      </c>
      <c r="C44" s="63" t="s">
        <v>55</v>
      </c>
      <c r="D44" s="57" t="s">
        <v>28</v>
      </c>
      <c r="E44" s="58"/>
      <c r="F44" s="59"/>
      <c r="G44" s="1"/>
    </row>
    <row r="45" spans="1:7" x14ac:dyDescent="0.25">
      <c r="A45" s="52"/>
      <c r="B45" s="64"/>
      <c r="C45" s="64"/>
      <c r="D45" s="60" t="s">
        <v>29</v>
      </c>
      <c r="E45" s="60"/>
      <c r="F45" s="60"/>
      <c r="G45" s="1"/>
    </row>
    <row r="46" spans="1:7" x14ac:dyDescent="0.25">
      <c r="A46" s="52"/>
      <c r="B46" s="64"/>
      <c r="C46" s="64"/>
      <c r="D46" s="14" t="s">
        <v>56</v>
      </c>
      <c r="E46" s="10" t="s">
        <v>15</v>
      </c>
      <c r="F46" s="10">
        <v>92.56</v>
      </c>
      <c r="G46" s="1"/>
    </row>
    <row r="47" spans="1:7" x14ac:dyDescent="0.25">
      <c r="A47" s="52"/>
      <c r="B47" s="64"/>
      <c r="C47" s="64"/>
      <c r="D47" s="6" t="s">
        <v>26</v>
      </c>
      <c r="E47" s="7" t="s">
        <v>8</v>
      </c>
      <c r="F47" s="33">
        <f>2822076-864556+1392528+0.42-793651-396826</f>
        <v>2159571.42</v>
      </c>
      <c r="G47" s="1"/>
    </row>
    <row r="48" spans="1:7" x14ac:dyDescent="0.25">
      <c r="A48" s="52"/>
      <c r="B48" s="64"/>
      <c r="C48" s="64"/>
      <c r="D48" s="5" t="s">
        <v>27</v>
      </c>
      <c r="E48" s="7" t="s">
        <v>8</v>
      </c>
      <c r="F48" s="34">
        <f>852267-261096+420543.58-239682-119841.43</f>
        <v>652191.15000000014</v>
      </c>
      <c r="G48" s="1"/>
    </row>
    <row r="49" spans="1:7" x14ac:dyDescent="0.25">
      <c r="A49" s="52"/>
      <c r="B49" s="64"/>
      <c r="C49" s="64"/>
      <c r="D49" s="57" t="s">
        <v>30</v>
      </c>
      <c r="E49" s="58"/>
      <c r="F49" s="59"/>
      <c r="G49" s="1"/>
    </row>
    <row r="50" spans="1:7" x14ac:dyDescent="0.25">
      <c r="A50" s="52"/>
      <c r="B50" s="64"/>
      <c r="C50" s="64"/>
      <c r="D50" s="60" t="s">
        <v>31</v>
      </c>
      <c r="E50" s="60"/>
      <c r="F50" s="60"/>
      <c r="G50" s="1"/>
    </row>
    <row r="51" spans="1:7" x14ac:dyDescent="0.25">
      <c r="A51" s="52"/>
      <c r="B51" s="64"/>
      <c r="C51" s="64"/>
      <c r="D51" s="8" t="s">
        <v>6</v>
      </c>
      <c r="E51" s="15" t="s">
        <v>2</v>
      </c>
      <c r="F51" s="16">
        <v>645000</v>
      </c>
      <c r="G51" s="1"/>
    </row>
    <row r="52" spans="1:7" x14ac:dyDescent="0.25">
      <c r="A52" s="52"/>
      <c r="B52" s="64"/>
      <c r="C52" s="64"/>
      <c r="D52" s="8" t="s">
        <v>3</v>
      </c>
      <c r="E52" s="15" t="s">
        <v>5</v>
      </c>
      <c r="F52" s="16">
        <v>591340</v>
      </c>
      <c r="G52" s="1"/>
    </row>
    <row r="53" spans="1:7" ht="15.75" x14ac:dyDescent="0.25">
      <c r="A53" s="52"/>
      <c r="B53" s="64"/>
      <c r="C53" s="64"/>
      <c r="D53" s="8" t="s">
        <v>42</v>
      </c>
      <c r="E53" s="15" t="s">
        <v>20</v>
      </c>
      <c r="F53" s="16">
        <v>116000</v>
      </c>
      <c r="G53" s="1"/>
    </row>
    <row r="54" spans="1:7" x14ac:dyDescent="0.25">
      <c r="A54" s="52"/>
      <c r="B54" s="64"/>
      <c r="C54" s="64"/>
      <c r="D54" s="57" t="s">
        <v>32</v>
      </c>
      <c r="E54" s="58"/>
      <c r="F54" s="59"/>
      <c r="G54" s="1"/>
    </row>
    <row r="55" spans="1:7" x14ac:dyDescent="0.25">
      <c r="A55" s="52"/>
      <c r="B55" s="64"/>
      <c r="C55" s="64"/>
      <c r="D55" s="45" t="s">
        <v>43</v>
      </c>
      <c r="E55" s="45"/>
      <c r="F55" s="45"/>
      <c r="G55" s="1"/>
    </row>
    <row r="56" spans="1:7" x14ac:dyDescent="0.25">
      <c r="A56" s="52"/>
      <c r="B56" s="64"/>
      <c r="C56" s="64"/>
      <c r="D56" s="45" t="s">
        <v>44</v>
      </c>
      <c r="E56" s="45"/>
      <c r="F56" s="45">
        <v>15000</v>
      </c>
      <c r="G56" s="1"/>
    </row>
    <row r="57" spans="1:7" x14ac:dyDescent="0.25">
      <c r="A57" s="52"/>
      <c r="B57" s="64"/>
      <c r="C57" s="64"/>
      <c r="D57" s="17" t="s">
        <v>21</v>
      </c>
      <c r="E57" s="4" t="s">
        <v>22</v>
      </c>
      <c r="F57" s="23"/>
      <c r="G57" s="1"/>
    </row>
    <row r="58" spans="1:7" x14ac:dyDescent="0.25">
      <c r="A58" s="52"/>
      <c r="B58" s="64"/>
      <c r="C58" s="64"/>
      <c r="D58" s="17" t="s">
        <v>23</v>
      </c>
      <c r="E58" s="18" t="s">
        <v>16</v>
      </c>
      <c r="F58" s="10">
        <v>45000</v>
      </c>
      <c r="G58" s="1"/>
    </row>
    <row r="59" spans="1:7" ht="39" x14ac:dyDescent="0.25">
      <c r="A59" s="52"/>
      <c r="B59" s="64"/>
      <c r="C59" s="64"/>
      <c r="D59" s="38" t="s">
        <v>47</v>
      </c>
      <c r="E59" s="18" t="s">
        <v>16</v>
      </c>
      <c r="F59" s="10">
        <v>24000</v>
      </c>
      <c r="G59" s="1"/>
    </row>
    <row r="60" spans="1:7" x14ac:dyDescent="0.25">
      <c r="A60" s="52"/>
      <c r="B60" s="64"/>
      <c r="C60" s="64"/>
      <c r="D60" s="17" t="s">
        <v>24</v>
      </c>
      <c r="E60" s="18" t="s">
        <v>16</v>
      </c>
      <c r="F60" s="10"/>
      <c r="G60" s="1"/>
    </row>
    <row r="61" spans="1:7" x14ac:dyDescent="0.25">
      <c r="A61" s="52"/>
      <c r="B61" s="64"/>
      <c r="C61" s="64"/>
      <c r="D61" s="17" t="s">
        <v>45</v>
      </c>
      <c r="E61" s="18" t="s">
        <v>16</v>
      </c>
      <c r="F61" s="10"/>
      <c r="G61" s="1"/>
    </row>
    <row r="62" spans="1:7" ht="26.25" x14ac:dyDescent="0.25">
      <c r="A62" s="52"/>
      <c r="B62" s="64"/>
      <c r="C62" s="64"/>
      <c r="D62" s="38" t="s">
        <v>46</v>
      </c>
      <c r="E62" s="18" t="s">
        <v>16</v>
      </c>
      <c r="F62" s="10"/>
      <c r="G62" s="1"/>
    </row>
    <row r="63" spans="1:7" x14ac:dyDescent="0.25">
      <c r="A63" s="52"/>
      <c r="B63" s="64"/>
      <c r="C63" s="64"/>
      <c r="D63" s="57" t="s">
        <v>34</v>
      </c>
      <c r="E63" s="58"/>
      <c r="F63" s="59"/>
      <c r="G63" s="1"/>
    </row>
    <row r="64" spans="1:7" x14ac:dyDescent="0.25">
      <c r="A64" s="52"/>
      <c r="B64" s="64"/>
      <c r="C64" s="64"/>
      <c r="D64" s="17" t="s">
        <v>9</v>
      </c>
      <c r="E64" s="19" t="s">
        <v>18</v>
      </c>
      <c r="F64" s="23">
        <v>9</v>
      </c>
      <c r="G64" s="1"/>
    </row>
    <row r="65" spans="1:7" x14ac:dyDescent="0.25">
      <c r="A65" s="52"/>
      <c r="B65" s="64"/>
      <c r="C65" s="64"/>
      <c r="D65" s="57" t="s">
        <v>33</v>
      </c>
      <c r="E65" s="58"/>
      <c r="F65" s="59"/>
      <c r="G65" s="1"/>
    </row>
    <row r="66" spans="1:7" x14ac:dyDescent="0.25">
      <c r="A66" s="52"/>
      <c r="B66" s="64"/>
      <c r="C66" s="64"/>
      <c r="D66" s="20" t="s">
        <v>7</v>
      </c>
      <c r="E66" s="22" t="s">
        <v>25</v>
      </c>
      <c r="F66" s="23">
        <v>5</v>
      </c>
      <c r="G66" s="1"/>
    </row>
    <row r="67" spans="1:7" x14ac:dyDescent="0.25">
      <c r="A67" s="52"/>
      <c r="B67" s="64"/>
      <c r="C67" s="64"/>
      <c r="D67" s="60" t="s">
        <v>35</v>
      </c>
      <c r="E67" s="60"/>
      <c r="F67" s="60"/>
      <c r="G67" s="1"/>
    </row>
    <row r="68" spans="1:7" ht="26.25" x14ac:dyDescent="0.25">
      <c r="A68" s="52"/>
      <c r="B68" s="64"/>
      <c r="C68" s="64"/>
      <c r="D68" s="36" t="s">
        <v>41</v>
      </c>
      <c r="E68" s="18" t="s">
        <v>15</v>
      </c>
      <c r="F68" s="25">
        <v>46.6</v>
      </c>
      <c r="G68" s="1"/>
    </row>
    <row r="69" spans="1:7" x14ac:dyDescent="0.25">
      <c r="A69" s="52"/>
      <c r="B69" s="64"/>
      <c r="C69" s="64"/>
      <c r="D69" s="6" t="s">
        <v>26</v>
      </c>
      <c r="E69" s="7" t="s">
        <v>8</v>
      </c>
      <c r="F69" s="34">
        <v>928353</v>
      </c>
      <c r="G69" s="1"/>
    </row>
    <row r="70" spans="1:7" x14ac:dyDescent="0.25">
      <c r="A70" s="52"/>
      <c r="B70" s="64"/>
      <c r="C70" s="64"/>
      <c r="D70" s="5" t="s">
        <v>27</v>
      </c>
      <c r="E70" s="7" t="s">
        <v>8</v>
      </c>
      <c r="F70" s="34">
        <v>280363</v>
      </c>
      <c r="G70" s="1"/>
    </row>
    <row r="71" spans="1:7" x14ac:dyDescent="0.25">
      <c r="A71" s="52"/>
      <c r="B71" s="64"/>
      <c r="C71" s="64"/>
      <c r="D71" s="60" t="s">
        <v>36</v>
      </c>
      <c r="E71" s="60"/>
      <c r="F71" s="60"/>
      <c r="G71" s="1"/>
    </row>
    <row r="72" spans="1:7" x14ac:dyDescent="0.25">
      <c r="A72" s="52"/>
      <c r="B72" s="64"/>
      <c r="C72" s="64"/>
      <c r="D72" s="26" t="s">
        <v>19</v>
      </c>
      <c r="E72" s="27" t="s">
        <v>8</v>
      </c>
      <c r="F72" s="29"/>
      <c r="G72" s="1"/>
    </row>
    <row r="73" spans="1:7" x14ac:dyDescent="0.25">
      <c r="A73" s="52"/>
      <c r="B73" s="64"/>
      <c r="C73" s="64"/>
      <c r="D73" s="26" t="s">
        <v>50</v>
      </c>
      <c r="E73" s="27"/>
      <c r="F73" s="29"/>
      <c r="G73" s="1"/>
    </row>
    <row r="74" spans="1:7" ht="26.25" x14ac:dyDescent="0.25">
      <c r="A74" s="52"/>
      <c r="B74" s="64"/>
      <c r="C74" s="64"/>
      <c r="D74" s="26" t="s">
        <v>51</v>
      </c>
      <c r="E74" s="27"/>
      <c r="F74" s="29"/>
      <c r="G74" s="1"/>
    </row>
    <row r="75" spans="1:7" ht="39" x14ac:dyDescent="0.25">
      <c r="A75" s="52"/>
      <c r="B75" s="64"/>
      <c r="C75" s="64"/>
      <c r="D75" s="26" t="s">
        <v>48</v>
      </c>
      <c r="E75" s="27"/>
      <c r="F75" s="29">
        <v>1680</v>
      </c>
      <c r="G75" s="1"/>
    </row>
    <row r="76" spans="1:7" x14ac:dyDescent="0.25">
      <c r="A76" s="52"/>
      <c r="B76" s="64"/>
      <c r="C76" s="64"/>
      <c r="D76" s="26" t="s">
        <v>4</v>
      </c>
      <c r="E76" s="27" t="s">
        <v>17</v>
      </c>
      <c r="F76" s="28">
        <v>10</v>
      </c>
      <c r="G76" s="1"/>
    </row>
    <row r="77" spans="1:7" ht="26.25" x14ac:dyDescent="0.25">
      <c r="A77" s="52"/>
      <c r="B77" s="64"/>
      <c r="C77" s="64"/>
      <c r="D77" s="26" t="s">
        <v>49</v>
      </c>
      <c r="E77" s="10" t="s">
        <v>8</v>
      </c>
      <c r="F77" s="29"/>
      <c r="G77" s="1"/>
    </row>
    <row r="78" spans="1:7" x14ac:dyDescent="0.25">
      <c r="A78" s="53"/>
      <c r="B78" s="65"/>
      <c r="C78" s="65"/>
      <c r="D78" s="26" t="s">
        <v>24</v>
      </c>
      <c r="E78" s="10" t="s">
        <v>8</v>
      </c>
      <c r="F78" s="29">
        <v>46668</v>
      </c>
      <c r="G78" s="1"/>
    </row>
    <row r="79" spans="1:7" ht="34.5" customHeight="1" x14ac:dyDescent="0.25">
      <c r="A79" s="51" t="s">
        <v>60</v>
      </c>
      <c r="B79" s="63" t="s">
        <v>85</v>
      </c>
      <c r="C79" s="63" t="s">
        <v>55</v>
      </c>
      <c r="D79" s="57" t="s">
        <v>28</v>
      </c>
      <c r="E79" s="58"/>
      <c r="F79" s="59"/>
      <c r="G79" s="1"/>
    </row>
    <row r="80" spans="1:7" x14ac:dyDescent="0.25">
      <c r="A80" s="52"/>
      <c r="B80" s="64"/>
      <c r="C80" s="64"/>
      <c r="D80" s="60" t="s">
        <v>29</v>
      </c>
      <c r="E80" s="60"/>
      <c r="F80" s="60"/>
      <c r="G80" s="1"/>
    </row>
    <row r="81" spans="1:7" x14ac:dyDescent="0.25">
      <c r="A81" s="52"/>
      <c r="B81" s="64"/>
      <c r="C81" s="64"/>
      <c r="D81" s="14" t="s">
        <v>56</v>
      </c>
      <c r="E81" s="10" t="s">
        <v>15</v>
      </c>
      <c r="F81" s="10">
        <v>92.56</v>
      </c>
      <c r="G81" s="1"/>
    </row>
    <row r="82" spans="1:7" x14ac:dyDescent="0.25">
      <c r="A82" s="52"/>
      <c r="B82" s="64"/>
      <c r="C82" s="64"/>
      <c r="D82" s="6" t="s">
        <v>26</v>
      </c>
      <c r="E82" s="7" t="s">
        <v>8</v>
      </c>
      <c r="F82" s="33">
        <f>2822076-864556+1392528+0.42-793651-396826</f>
        <v>2159571.42</v>
      </c>
      <c r="G82" s="1"/>
    </row>
    <row r="83" spans="1:7" x14ac:dyDescent="0.25">
      <c r="A83" s="52"/>
      <c r="B83" s="64"/>
      <c r="C83" s="64"/>
      <c r="D83" s="5" t="s">
        <v>27</v>
      </c>
      <c r="E83" s="7" t="s">
        <v>8</v>
      </c>
      <c r="F83" s="34">
        <f>852267-261096+420543.58-239682-119841.43</f>
        <v>652191.15000000014</v>
      </c>
      <c r="G83" s="1"/>
    </row>
    <row r="84" spans="1:7" x14ac:dyDescent="0.25">
      <c r="A84" s="52"/>
      <c r="B84" s="64"/>
      <c r="C84" s="64"/>
      <c r="D84" s="57" t="s">
        <v>30</v>
      </c>
      <c r="E84" s="58"/>
      <c r="F84" s="59"/>
      <c r="G84" s="1"/>
    </row>
    <row r="85" spans="1:7" x14ac:dyDescent="0.25">
      <c r="A85" s="52"/>
      <c r="B85" s="64"/>
      <c r="C85" s="64"/>
      <c r="D85" s="60" t="s">
        <v>31</v>
      </c>
      <c r="E85" s="60"/>
      <c r="F85" s="60"/>
      <c r="G85" s="1"/>
    </row>
    <row r="86" spans="1:7" x14ac:dyDescent="0.25">
      <c r="A86" s="52"/>
      <c r="B86" s="64"/>
      <c r="C86" s="64"/>
      <c r="D86" s="8" t="s">
        <v>6</v>
      </c>
      <c r="E86" s="15" t="s">
        <v>2</v>
      </c>
      <c r="F86" s="16">
        <v>645000</v>
      </c>
      <c r="G86" s="1"/>
    </row>
    <row r="87" spans="1:7" x14ac:dyDescent="0.25">
      <c r="A87" s="52"/>
      <c r="B87" s="64"/>
      <c r="C87" s="64"/>
      <c r="D87" s="8" t="s">
        <v>3</v>
      </c>
      <c r="E87" s="15" t="s">
        <v>5</v>
      </c>
      <c r="F87" s="16">
        <v>591340</v>
      </c>
      <c r="G87" s="1"/>
    </row>
    <row r="88" spans="1:7" ht="15.75" x14ac:dyDescent="0.25">
      <c r="A88" s="52"/>
      <c r="B88" s="64"/>
      <c r="C88" s="64"/>
      <c r="D88" s="8" t="s">
        <v>42</v>
      </c>
      <c r="E88" s="15" t="s">
        <v>20</v>
      </c>
      <c r="F88" s="16">
        <v>116000</v>
      </c>
      <c r="G88" s="1"/>
    </row>
    <row r="89" spans="1:7" x14ac:dyDescent="0.25">
      <c r="A89" s="52"/>
      <c r="B89" s="64"/>
      <c r="C89" s="64"/>
      <c r="D89" s="57" t="s">
        <v>32</v>
      </c>
      <c r="E89" s="58"/>
      <c r="F89" s="59"/>
      <c r="G89" s="1"/>
    </row>
    <row r="90" spans="1:7" x14ac:dyDescent="0.25">
      <c r="A90" s="52"/>
      <c r="B90" s="64"/>
      <c r="C90" s="64"/>
      <c r="D90" s="45" t="s">
        <v>43</v>
      </c>
      <c r="E90" s="45"/>
      <c r="F90" s="45"/>
      <c r="G90" s="1"/>
    </row>
    <row r="91" spans="1:7" x14ac:dyDescent="0.25">
      <c r="A91" s="52"/>
      <c r="B91" s="64"/>
      <c r="C91" s="64"/>
      <c r="D91" s="45" t="s">
        <v>44</v>
      </c>
      <c r="E91" s="45"/>
      <c r="F91" s="45">
        <v>15000</v>
      </c>
      <c r="G91" s="1"/>
    </row>
    <row r="92" spans="1:7" x14ac:dyDescent="0.25">
      <c r="A92" s="52"/>
      <c r="B92" s="64"/>
      <c r="C92" s="64"/>
      <c r="D92" s="17" t="s">
        <v>21</v>
      </c>
      <c r="E92" s="4" t="s">
        <v>22</v>
      </c>
      <c r="F92" s="23"/>
      <c r="G92" s="1"/>
    </row>
    <row r="93" spans="1:7" x14ac:dyDescent="0.25">
      <c r="A93" s="52"/>
      <c r="B93" s="64"/>
      <c r="C93" s="64"/>
      <c r="D93" s="17" t="s">
        <v>23</v>
      </c>
      <c r="E93" s="18" t="s">
        <v>16</v>
      </c>
      <c r="F93" s="10">
        <v>45000</v>
      </c>
      <c r="G93" s="1"/>
    </row>
    <row r="94" spans="1:7" ht="39" x14ac:dyDescent="0.25">
      <c r="A94" s="52"/>
      <c r="B94" s="64"/>
      <c r="C94" s="64"/>
      <c r="D94" s="38" t="s">
        <v>47</v>
      </c>
      <c r="E94" s="18" t="s">
        <v>16</v>
      </c>
      <c r="F94" s="10">
        <v>24000</v>
      </c>
      <c r="G94" s="1"/>
    </row>
    <row r="95" spans="1:7" x14ac:dyDescent="0.25">
      <c r="A95" s="52"/>
      <c r="B95" s="64"/>
      <c r="C95" s="64"/>
      <c r="D95" s="17" t="s">
        <v>24</v>
      </c>
      <c r="E95" s="18" t="s">
        <v>16</v>
      </c>
      <c r="F95" s="10"/>
      <c r="G95" s="1"/>
    </row>
    <row r="96" spans="1:7" x14ac:dyDescent="0.25">
      <c r="A96" s="52"/>
      <c r="B96" s="64"/>
      <c r="C96" s="64"/>
      <c r="D96" s="17" t="s">
        <v>45</v>
      </c>
      <c r="E96" s="18" t="s">
        <v>16</v>
      </c>
      <c r="F96" s="10"/>
      <c r="G96" s="1"/>
    </row>
    <row r="97" spans="1:7" ht="26.25" x14ac:dyDescent="0.25">
      <c r="A97" s="52"/>
      <c r="B97" s="64"/>
      <c r="C97" s="64"/>
      <c r="D97" s="38" t="s">
        <v>46</v>
      </c>
      <c r="E97" s="18" t="s">
        <v>16</v>
      </c>
      <c r="F97" s="10"/>
      <c r="G97" s="1"/>
    </row>
    <row r="98" spans="1:7" x14ac:dyDescent="0.25">
      <c r="A98" s="52"/>
      <c r="B98" s="64"/>
      <c r="C98" s="64"/>
      <c r="D98" s="57" t="s">
        <v>34</v>
      </c>
      <c r="E98" s="58"/>
      <c r="F98" s="59"/>
      <c r="G98" s="1"/>
    </row>
    <row r="99" spans="1:7" x14ac:dyDescent="0.25">
      <c r="A99" s="52"/>
      <c r="B99" s="64"/>
      <c r="C99" s="64"/>
      <c r="D99" s="17" t="s">
        <v>9</v>
      </c>
      <c r="E99" s="19" t="s">
        <v>18</v>
      </c>
      <c r="F99" s="23">
        <v>9</v>
      </c>
      <c r="G99" s="1"/>
    </row>
    <row r="100" spans="1:7" x14ac:dyDescent="0.25">
      <c r="A100" s="52"/>
      <c r="B100" s="64"/>
      <c r="C100" s="64"/>
      <c r="D100" s="57" t="s">
        <v>33</v>
      </c>
      <c r="E100" s="58"/>
      <c r="F100" s="59"/>
      <c r="G100" s="1"/>
    </row>
    <row r="101" spans="1:7" x14ac:dyDescent="0.25">
      <c r="A101" s="52"/>
      <c r="B101" s="64"/>
      <c r="C101" s="64"/>
      <c r="D101" s="20" t="s">
        <v>7</v>
      </c>
      <c r="E101" s="22" t="s">
        <v>25</v>
      </c>
      <c r="F101" s="23">
        <v>5</v>
      </c>
      <c r="G101" s="1"/>
    </row>
    <row r="102" spans="1:7" x14ac:dyDescent="0.25">
      <c r="A102" s="52"/>
      <c r="B102" s="64"/>
      <c r="C102" s="64"/>
      <c r="D102" s="60" t="s">
        <v>35</v>
      </c>
      <c r="E102" s="60"/>
      <c r="F102" s="60"/>
      <c r="G102" s="1"/>
    </row>
    <row r="103" spans="1:7" ht="26.25" x14ac:dyDescent="0.25">
      <c r="A103" s="52"/>
      <c r="B103" s="64"/>
      <c r="C103" s="64"/>
      <c r="D103" s="36" t="s">
        <v>41</v>
      </c>
      <c r="E103" s="18" t="s">
        <v>15</v>
      </c>
      <c r="F103" s="25">
        <v>46.6</v>
      </c>
      <c r="G103" s="1"/>
    </row>
    <row r="104" spans="1:7" x14ac:dyDescent="0.25">
      <c r="A104" s="52"/>
      <c r="B104" s="64"/>
      <c r="C104" s="64"/>
      <c r="D104" s="6" t="s">
        <v>26</v>
      </c>
      <c r="E104" s="7" t="s">
        <v>8</v>
      </c>
      <c r="F104" s="34">
        <v>928353</v>
      </c>
      <c r="G104" s="1"/>
    </row>
    <row r="105" spans="1:7" x14ac:dyDescent="0.25">
      <c r="A105" s="52"/>
      <c r="B105" s="64"/>
      <c r="C105" s="64"/>
      <c r="D105" s="5" t="s">
        <v>27</v>
      </c>
      <c r="E105" s="7" t="s">
        <v>8</v>
      </c>
      <c r="F105" s="34">
        <v>280363</v>
      </c>
      <c r="G105" s="1"/>
    </row>
    <row r="106" spans="1:7" x14ac:dyDescent="0.25">
      <c r="A106" s="52"/>
      <c r="B106" s="64"/>
      <c r="C106" s="64"/>
      <c r="D106" s="60" t="s">
        <v>36</v>
      </c>
      <c r="E106" s="60"/>
      <c r="F106" s="60"/>
      <c r="G106" s="1"/>
    </row>
    <row r="107" spans="1:7" x14ac:dyDescent="0.25">
      <c r="A107" s="52"/>
      <c r="B107" s="64"/>
      <c r="C107" s="64"/>
      <c r="D107" s="26" t="s">
        <v>19</v>
      </c>
      <c r="E107" s="27" t="s">
        <v>8</v>
      </c>
      <c r="F107" s="29"/>
      <c r="G107" s="1"/>
    </row>
    <row r="108" spans="1:7" x14ac:dyDescent="0.25">
      <c r="A108" s="52"/>
      <c r="B108" s="64"/>
      <c r="C108" s="64"/>
      <c r="D108" s="26" t="s">
        <v>50</v>
      </c>
      <c r="E108" s="27"/>
      <c r="F108" s="29"/>
      <c r="G108" s="1"/>
    </row>
    <row r="109" spans="1:7" ht="26.25" x14ac:dyDescent="0.25">
      <c r="A109" s="52"/>
      <c r="B109" s="64"/>
      <c r="C109" s="64"/>
      <c r="D109" s="26" t="s">
        <v>51</v>
      </c>
      <c r="E109" s="27"/>
      <c r="F109" s="29"/>
      <c r="G109" s="1"/>
    </row>
    <row r="110" spans="1:7" ht="39" x14ac:dyDescent="0.25">
      <c r="A110" s="52"/>
      <c r="B110" s="64"/>
      <c r="C110" s="64"/>
      <c r="D110" s="26" t="s">
        <v>48</v>
      </c>
      <c r="E110" s="27"/>
      <c r="F110" s="29">
        <v>1680</v>
      </c>
      <c r="G110" s="1"/>
    </row>
    <row r="111" spans="1:7" x14ac:dyDescent="0.25">
      <c r="A111" s="52"/>
      <c r="B111" s="64"/>
      <c r="C111" s="64"/>
      <c r="D111" s="26" t="s">
        <v>4</v>
      </c>
      <c r="E111" s="27" t="s">
        <v>17</v>
      </c>
      <c r="F111" s="28">
        <v>10</v>
      </c>
      <c r="G111" s="1"/>
    </row>
    <row r="112" spans="1:7" ht="26.25" x14ac:dyDescent="0.25">
      <c r="A112" s="52"/>
      <c r="B112" s="64"/>
      <c r="C112" s="64"/>
      <c r="D112" s="26" t="s">
        <v>49</v>
      </c>
      <c r="E112" s="10" t="s">
        <v>8</v>
      </c>
      <c r="F112" s="29"/>
      <c r="G112" s="1"/>
    </row>
    <row r="113" spans="1:7" x14ac:dyDescent="0.25">
      <c r="A113" s="53"/>
      <c r="B113" s="65"/>
      <c r="C113" s="65"/>
      <c r="D113" s="26" t="s">
        <v>24</v>
      </c>
      <c r="E113" s="10" t="s">
        <v>8</v>
      </c>
      <c r="F113" s="29">
        <v>46668</v>
      </c>
      <c r="G113" s="1"/>
    </row>
    <row r="114" spans="1:7" ht="33.75" customHeight="1" x14ac:dyDescent="0.25">
      <c r="A114" s="51" t="s">
        <v>60</v>
      </c>
      <c r="B114" s="63" t="s">
        <v>86</v>
      </c>
      <c r="C114" s="63" t="s">
        <v>55</v>
      </c>
      <c r="D114" s="57" t="s">
        <v>28</v>
      </c>
      <c r="E114" s="58"/>
      <c r="F114" s="59"/>
      <c r="G114" s="1"/>
    </row>
    <row r="115" spans="1:7" x14ac:dyDescent="0.25">
      <c r="A115" s="52"/>
      <c r="B115" s="64"/>
      <c r="C115" s="64"/>
      <c r="D115" s="60" t="s">
        <v>29</v>
      </c>
      <c r="E115" s="60"/>
      <c r="F115" s="60"/>
      <c r="G115" s="1"/>
    </row>
    <row r="116" spans="1:7" x14ac:dyDescent="0.25">
      <c r="A116" s="52"/>
      <c r="B116" s="64"/>
      <c r="C116" s="64"/>
      <c r="D116" s="14" t="s">
        <v>56</v>
      </c>
      <c r="E116" s="10" t="s">
        <v>15</v>
      </c>
      <c r="F116" s="10">
        <v>92.56</v>
      </c>
      <c r="G116" s="1"/>
    </row>
    <row r="117" spans="1:7" x14ac:dyDescent="0.25">
      <c r="A117" s="52"/>
      <c r="B117" s="64"/>
      <c r="C117" s="64"/>
      <c r="D117" s="6" t="s">
        <v>26</v>
      </c>
      <c r="E117" s="7" t="s">
        <v>8</v>
      </c>
      <c r="F117" s="33">
        <f>2822076-864556+1392528+0.42-793651-396826</f>
        <v>2159571.42</v>
      </c>
      <c r="G117" s="1"/>
    </row>
    <row r="118" spans="1:7" x14ac:dyDescent="0.25">
      <c r="A118" s="52"/>
      <c r="B118" s="64"/>
      <c r="C118" s="64"/>
      <c r="D118" s="5" t="s">
        <v>27</v>
      </c>
      <c r="E118" s="7" t="s">
        <v>8</v>
      </c>
      <c r="F118" s="34">
        <f>852267-261096+420543.58-239682-119841.43</f>
        <v>652191.15000000014</v>
      </c>
      <c r="G118" s="1"/>
    </row>
    <row r="119" spans="1:7" x14ac:dyDescent="0.25">
      <c r="A119" s="52"/>
      <c r="B119" s="64"/>
      <c r="C119" s="64"/>
      <c r="D119" s="57" t="s">
        <v>30</v>
      </c>
      <c r="E119" s="58"/>
      <c r="F119" s="59"/>
      <c r="G119" s="1"/>
    </row>
    <row r="120" spans="1:7" x14ac:dyDescent="0.25">
      <c r="A120" s="52"/>
      <c r="B120" s="64"/>
      <c r="C120" s="64"/>
      <c r="D120" s="60" t="s">
        <v>31</v>
      </c>
      <c r="E120" s="60"/>
      <c r="F120" s="60"/>
      <c r="G120" s="1"/>
    </row>
    <row r="121" spans="1:7" x14ac:dyDescent="0.25">
      <c r="A121" s="52"/>
      <c r="B121" s="64"/>
      <c r="C121" s="64"/>
      <c r="D121" s="8" t="s">
        <v>6</v>
      </c>
      <c r="E121" s="15" t="s">
        <v>2</v>
      </c>
      <c r="F121" s="16">
        <v>645000</v>
      </c>
      <c r="G121" s="1"/>
    </row>
    <row r="122" spans="1:7" x14ac:dyDescent="0.25">
      <c r="A122" s="52"/>
      <c r="B122" s="64"/>
      <c r="C122" s="64"/>
      <c r="D122" s="8" t="s">
        <v>3</v>
      </c>
      <c r="E122" s="15" t="s">
        <v>5</v>
      </c>
      <c r="F122" s="16">
        <v>591340</v>
      </c>
      <c r="G122" s="1"/>
    </row>
    <row r="123" spans="1:7" ht="15.75" x14ac:dyDescent="0.25">
      <c r="A123" s="52"/>
      <c r="B123" s="64"/>
      <c r="C123" s="64"/>
      <c r="D123" s="8" t="s">
        <v>42</v>
      </c>
      <c r="E123" s="15" t="s">
        <v>20</v>
      </c>
      <c r="F123" s="16">
        <v>116000</v>
      </c>
      <c r="G123" s="1"/>
    </row>
    <row r="124" spans="1:7" x14ac:dyDescent="0.25">
      <c r="A124" s="52"/>
      <c r="B124" s="64"/>
      <c r="C124" s="64"/>
      <c r="D124" s="57" t="s">
        <v>32</v>
      </c>
      <c r="E124" s="58"/>
      <c r="F124" s="59"/>
      <c r="G124" s="1"/>
    </row>
    <row r="125" spans="1:7" x14ac:dyDescent="0.25">
      <c r="A125" s="52"/>
      <c r="B125" s="64"/>
      <c r="C125" s="64"/>
      <c r="D125" s="45" t="s">
        <v>43</v>
      </c>
      <c r="E125" s="45"/>
      <c r="F125" s="45"/>
      <c r="G125" s="1"/>
    </row>
    <row r="126" spans="1:7" x14ac:dyDescent="0.25">
      <c r="A126" s="52"/>
      <c r="B126" s="64"/>
      <c r="C126" s="64"/>
      <c r="D126" s="45" t="s">
        <v>44</v>
      </c>
      <c r="E126" s="45"/>
      <c r="F126" s="45">
        <v>15000</v>
      </c>
      <c r="G126" s="1"/>
    </row>
    <row r="127" spans="1:7" x14ac:dyDescent="0.25">
      <c r="A127" s="52"/>
      <c r="B127" s="64"/>
      <c r="C127" s="64"/>
      <c r="D127" s="17" t="s">
        <v>21</v>
      </c>
      <c r="E127" s="4" t="s">
        <v>22</v>
      </c>
      <c r="F127" s="23"/>
      <c r="G127" s="1"/>
    </row>
    <row r="128" spans="1:7" x14ac:dyDescent="0.25">
      <c r="A128" s="52"/>
      <c r="B128" s="64"/>
      <c r="C128" s="64"/>
      <c r="D128" s="17" t="s">
        <v>23</v>
      </c>
      <c r="E128" s="18" t="s">
        <v>16</v>
      </c>
      <c r="F128" s="10">
        <v>45000</v>
      </c>
      <c r="G128" s="1"/>
    </row>
    <row r="129" spans="1:7" ht="39" x14ac:dyDescent="0.25">
      <c r="A129" s="52"/>
      <c r="B129" s="64"/>
      <c r="C129" s="64"/>
      <c r="D129" s="38" t="s">
        <v>47</v>
      </c>
      <c r="E129" s="18" t="s">
        <v>16</v>
      </c>
      <c r="F129" s="10">
        <v>24000</v>
      </c>
      <c r="G129" s="1"/>
    </row>
    <row r="130" spans="1:7" x14ac:dyDescent="0.25">
      <c r="A130" s="52"/>
      <c r="B130" s="64"/>
      <c r="C130" s="64"/>
      <c r="D130" s="17" t="s">
        <v>24</v>
      </c>
      <c r="E130" s="18" t="s">
        <v>16</v>
      </c>
      <c r="F130" s="10"/>
      <c r="G130" s="1"/>
    </row>
    <row r="131" spans="1:7" x14ac:dyDescent="0.25">
      <c r="A131" s="52"/>
      <c r="B131" s="64"/>
      <c r="C131" s="64"/>
      <c r="D131" s="17" t="s">
        <v>45</v>
      </c>
      <c r="E131" s="18" t="s">
        <v>16</v>
      </c>
      <c r="F131" s="10"/>
      <c r="G131" s="1"/>
    </row>
    <row r="132" spans="1:7" ht="26.25" x14ac:dyDescent="0.25">
      <c r="A132" s="52"/>
      <c r="B132" s="64"/>
      <c r="C132" s="64"/>
      <c r="D132" s="38" t="s">
        <v>46</v>
      </c>
      <c r="E132" s="18" t="s">
        <v>16</v>
      </c>
      <c r="F132" s="10"/>
      <c r="G132" s="1"/>
    </row>
    <row r="133" spans="1:7" x14ac:dyDescent="0.25">
      <c r="A133" s="52"/>
      <c r="B133" s="64"/>
      <c r="C133" s="64"/>
      <c r="D133" s="57" t="s">
        <v>34</v>
      </c>
      <c r="E133" s="58"/>
      <c r="F133" s="59"/>
      <c r="G133" s="1"/>
    </row>
    <row r="134" spans="1:7" x14ac:dyDescent="0.25">
      <c r="A134" s="52"/>
      <c r="B134" s="64"/>
      <c r="C134" s="64"/>
      <c r="D134" s="17" t="s">
        <v>9</v>
      </c>
      <c r="E134" s="19" t="s">
        <v>18</v>
      </c>
      <c r="F134" s="23">
        <v>9</v>
      </c>
      <c r="G134" s="1"/>
    </row>
    <row r="135" spans="1:7" x14ac:dyDescent="0.25">
      <c r="A135" s="52"/>
      <c r="B135" s="64"/>
      <c r="C135" s="64"/>
      <c r="D135" s="57" t="s">
        <v>33</v>
      </c>
      <c r="E135" s="58"/>
      <c r="F135" s="59"/>
      <c r="G135" s="1"/>
    </row>
    <row r="136" spans="1:7" x14ac:dyDescent="0.25">
      <c r="A136" s="52"/>
      <c r="B136" s="64"/>
      <c r="C136" s="64"/>
      <c r="D136" s="20" t="s">
        <v>7</v>
      </c>
      <c r="E136" s="22" t="s">
        <v>25</v>
      </c>
      <c r="F136" s="23">
        <v>5</v>
      </c>
      <c r="G136" s="1"/>
    </row>
    <row r="137" spans="1:7" x14ac:dyDescent="0.25">
      <c r="A137" s="52"/>
      <c r="B137" s="64"/>
      <c r="C137" s="64"/>
      <c r="D137" s="60" t="s">
        <v>35</v>
      </c>
      <c r="E137" s="60"/>
      <c r="F137" s="60"/>
      <c r="G137" s="1"/>
    </row>
    <row r="138" spans="1:7" ht="26.25" x14ac:dyDescent="0.25">
      <c r="A138" s="52"/>
      <c r="B138" s="64"/>
      <c r="C138" s="64"/>
      <c r="D138" s="36" t="s">
        <v>41</v>
      </c>
      <c r="E138" s="18" t="s">
        <v>15</v>
      </c>
      <c r="F138" s="25">
        <v>46.6</v>
      </c>
      <c r="G138" s="1"/>
    </row>
    <row r="139" spans="1:7" x14ac:dyDescent="0.25">
      <c r="A139" s="52"/>
      <c r="B139" s="64"/>
      <c r="C139" s="64"/>
      <c r="D139" s="6" t="s">
        <v>26</v>
      </c>
      <c r="E139" s="7" t="s">
        <v>8</v>
      </c>
      <c r="F139" s="34">
        <v>928353</v>
      </c>
      <c r="G139" s="1"/>
    </row>
    <row r="140" spans="1:7" x14ac:dyDescent="0.25">
      <c r="A140" s="52"/>
      <c r="B140" s="64"/>
      <c r="C140" s="64"/>
      <c r="D140" s="5" t="s">
        <v>27</v>
      </c>
      <c r="E140" s="7" t="s">
        <v>8</v>
      </c>
      <c r="F140" s="34">
        <v>280363</v>
      </c>
      <c r="G140" s="1"/>
    </row>
    <row r="141" spans="1:7" x14ac:dyDescent="0.25">
      <c r="A141" s="52"/>
      <c r="B141" s="64"/>
      <c r="C141" s="64"/>
      <c r="D141" s="60" t="s">
        <v>36</v>
      </c>
      <c r="E141" s="60"/>
      <c r="F141" s="60"/>
      <c r="G141" s="1"/>
    </row>
    <row r="142" spans="1:7" x14ac:dyDescent="0.25">
      <c r="A142" s="52"/>
      <c r="B142" s="64"/>
      <c r="C142" s="64"/>
      <c r="D142" s="26" t="s">
        <v>19</v>
      </c>
      <c r="E142" s="27" t="s">
        <v>8</v>
      </c>
      <c r="F142" s="29"/>
      <c r="G142" s="1"/>
    </row>
    <row r="143" spans="1:7" x14ac:dyDescent="0.25">
      <c r="A143" s="52"/>
      <c r="B143" s="64"/>
      <c r="C143" s="64"/>
      <c r="D143" s="26" t="s">
        <v>50</v>
      </c>
      <c r="E143" s="27"/>
      <c r="F143" s="29"/>
      <c r="G143" s="1"/>
    </row>
    <row r="144" spans="1:7" ht="26.25" x14ac:dyDescent="0.25">
      <c r="A144" s="52"/>
      <c r="B144" s="64"/>
      <c r="C144" s="64"/>
      <c r="D144" s="26" t="s">
        <v>51</v>
      </c>
      <c r="E144" s="27"/>
      <c r="F144" s="29"/>
      <c r="G144" s="1"/>
    </row>
    <row r="145" spans="1:26" ht="39" x14ac:dyDescent="0.25">
      <c r="A145" s="52"/>
      <c r="B145" s="64"/>
      <c r="C145" s="64"/>
      <c r="D145" s="26" t="s">
        <v>48</v>
      </c>
      <c r="E145" s="27"/>
      <c r="F145" s="29">
        <v>1680</v>
      </c>
      <c r="G145" s="1"/>
    </row>
    <row r="146" spans="1:26" x14ac:dyDescent="0.25">
      <c r="A146" s="52"/>
      <c r="B146" s="64"/>
      <c r="C146" s="64"/>
      <c r="D146" s="26" t="s">
        <v>4</v>
      </c>
      <c r="E146" s="27" t="s">
        <v>17</v>
      </c>
      <c r="F146" s="28">
        <v>10</v>
      </c>
      <c r="G146" s="1"/>
    </row>
    <row r="147" spans="1:26" ht="26.25" x14ac:dyDescent="0.25">
      <c r="A147" s="52"/>
      <c r="B147" s="64"/>
      <c r="C147" s="64"/>
      <c r="D147" s="26" t="s">
        <v>49</v>
      </c>
      <c r="E147" s="10" t="s">
        <v>8</v>
      </c>
      <c r="F147" s="29"/>
      <c r="G147" s="1"/>
    </row>
    <row r="148" spans="1:26" x14ac:dyDescent="0.25">
      <c r="A148" s="53"/>
      <c r="B148" s="65"/>
      <c r="C148" s="65"/>
      <c r="D148" s="26" t="s">
        <v>24</v>
      </c>
      <c r="E148" s="10" t="s">
        <v>8</v>
      </c>
      <c r="F148" s="29">
        <v>46668</v>
      </c>
      <c r="G148" s="1"/>
    </row>
    <row r="149" spans="1:26" s="3" customFormat="1" ht="22.5" customHeight="1" x14ac:dyDescent="0.25">
      <c r="A149" s="51" t="s">
        <v>60</v>
      </c>
      <c r="B149" s="54" t="s">
        <v>79</v>
      </c>
      <c r="C149" s="54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52"/>
      <c r="B150" s="55"/>
      <c r="C150" s="55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52"/>
      <c r="B151" s="55"/>
      <c r="C151" s="55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52"/>
      <c r="B152" s="55"/>
      <c r="C152" s="55"/>
      <c r="D152" s="6" t="s">
        <v>26</v>
      </c>
      <c r="E152" s="7" t="s">
        <v>8</v>
      </c>
      <c r="F152" s="33">
        <f>1+3991551-793651</f>
        <v>3197901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52"/>
      <c r="B153" s="55"/>
      <c r="C153" s="55"/>
      <c r="D153" s="5" t="s">
        <v>27</v>
      </c>
      <c r="E153" s="7" t="s">
        <v>8</v>
      </c>
      <c r="F153" s="34">
        <f>1205447-239682</f>
        <v>965765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52"/>
      <c r="B154" s="55"/>
      <c r="C154" s="55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52"/>
      <c r="B155" s="55"/>
      <c r="C155" s="55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52"/>
      <c r="B156" s="55"/>
      <c r="C156" s="55"/>
      <c r="D156" s="8" t="s">
        <v>6</v>
      </c>
      <c r="E156" s="15" t="s">
        <v>2</v>
      </c>
      <c r="F156" s="16">
        <v>645000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52"/>
      <c r="B157" s="55"/>
      <c r="C157" s="55"/>
      <c r="D157" s="8" t="s">
        <v>3</v>
      </c>
      <c r="E157" s="15" t="s">
        <v>5</v>
      </c>
      <c r="F157" s="16">
        <v>591340</v>
      </c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52"/>
      <c r="B158" s="55"/>
      <c r="C158" s="55"/>
      <c r="D158" s="8" t="s">
        <v>42</v>
      </c>
      <c r="E158" s="15" t="s">
        <v>20</v>
      </c>
      <c r="F158" s="16">
        <v>116000</v>
      </c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29.25" customHeight="1" x14ac:dyDescent="0.25">
      <c r="A159" s="52"/>
      <c r="B159" s="55"/>
      <c r="C159" s="55"/>
      <c r="D159" s="57" t="s">
        <v>32</v>
      </c>
      <c r="E159" s="58"/>
      <c r="F159" s="59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52"/>
      <c r="B160" s="55"/>
      <c r="C160" s="55"/>
      <c r="D160" s="40" t="s">
        <v>43</v>
      </c>
      <c r="E160" s="40"/>
      <c r="F160" s="40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52"/>
      <c r="B161" s="55"/>
      <c r="C161" s="55"/>
      <c r="D161" s="40" t="s">
        <v>44</v>
      </c>
      <c r="E161" s="40"/>
      <c r="F161" s="40">
        <v>15000</v>
      </c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52"/>
      <c r="B162" s="55"/>
      <c r="C162" s="55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52"/>
      <c r="B163" s="55"/>
      <c r="C163" s="55"/>
      <c r="D163" s="17" t="s">
        <v>23</v>
      </c>
      <c r="E163" s="18" t="s">
        <v>16</v>
      </c>
      <c r="F163" s="10">
        <v>45000</v>
      </c>
      <c r="G163" s="1"/>
      <c r="H163" s="47">
        <f>F152+F153+F156+F157+F158+F161+F163+F164+F169+F171+F174+F175+F180+F181+F183</f>
        <v>6903757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52"/>
      <c r="B164" s="55"/>
      <c r="C164" s="55"/>
      <c r="D164" s="38" t="s">
        <v>47</v>
      </c>
      <c r="E164" s="18"/>
      <c r="F164" s="10">
        <v>24000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52"/>
      <c r="B165" s="55"/>
      <c r="C165" s="55"/>
      <c r="D165" s="17" t="s">
        <v>24</v>
      </c>
      <c r="E165" s="18"/>
      <c r="F165" s="10"/>
      <c r="G165" s="1"/>
      <c r="H165" s="1">
        <f>7937090-2740091</f>
        <v>5196999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52"/>
      <c r="B166" s="55"/>
      <c r="C166" s="55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52"/>
      <c r="B167" s="55"/>
      <c r="C167" s="55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9.25" customHeight="1" x14ac:dyDescent="0.25">
      <c r="A168" s="52"/>
      <c r="B168" s="55"/>
      <c r="C168" s="55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52"/>
      <c r="B169" s="55"/>
      <c r="C169" s="55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52"/>
      <c r="B170" s="55"/>
      <c r="C170" s="55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52"/>
      <c r="B171" s="55"/>
      <c r="C171" s="55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30" customHeight="1" x14ac:dyDescent="0.25">
      <c r="A172" s="52"/>
      <c r="B172" s="55"/>
      <c r="C172" s="55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s="3" customFormat="1" ht="26.25" x14ac:dyDescent="0.25">
      <c r="A173" s="52"/>
      <c r="B173" s="55"/>
      <c r="C173" s="55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s="3" customFormat="1" x14ac:dyDescent="0.25">
      <c r="A174" s="52"/>
      <c r="B174" s="55"/>
      <c r="C174" s="55"/>
      <c r="D174" s="6" t="s">
        <v>26</v>
      </c>
      <c r="E174" s="7" t="s">
        <v>8</v>
      </c>
      <c r="F174" s="34">
        <v>928352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s="3" customFormat="1" x14ac:dyDescent="0.25">
      <c r="A175" s="52"/>
      <c r="B175" s="55"/>
      <c r="C175" s="55"/>
      <c r="D175" s="5" t="s">
        <v>27</v>
      </c>
      <c r="E175" s="7" t="s">
        <v>8</v>
      </c>
      <c r="F175" s="34">
        <v>280363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s="3" customFormat="1" x14ac:dyDescent="0.25">
      <c r="A176" s="52"/>
      <c r="B176" s="55"/>
      <c r="C176" s="55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3" customFormat="1" x14ac:dyDescent="0.25">
      <c r="A177" s="52"/>
      <c r="B177" s="55"/>
      <c r="C177" s="55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s="3" customFormat="1" x14ac:dyDescent="0.25">
      <c r="A178" s="52"/>
      <c r="B178" s="55"/>
      <c r="C178" s="55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s="3" customFormat="1" x14ac:dyDescent="0.25">
      <c r="A179" s="52"/>
      <c r="B179" s="55"/>
      <c r="C179" s="55"/>
      <c r="D179" s="26" t="s">
        <v>52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s="3" customFormat="1" ht="39" x14ac:dyDescent="0.25">
      <c r="A180" s="52"/>
      <c r="B180" s="55"/>
      <c r="C180" s="55"/>
      <c r="D180" s="26" t="s">
        <v>48</v>
      </c>
      <c r="E180" s="27"/>
      <c r="F180" s="29">
        <v>1680</v>
      </c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s="3" customFormat="1" x14ac:dyDescent="0.25">
      <c r="A181" s="52"/>
      <c r="B181" s="55"/>
      <c r="C181" s="55"/>
      <c r="D181" s="26" t="s">
        <v>4</v>
      </c>
      <c r="E181" s="27" t="s">
        <v>17</v>
      </c>
      <c r="F181" s="29">
        <v>10</v>
      </c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s="3" customFormat="1" ht="26.25" x14ac:dyDescent="0.25">
      <c r="A182" s="52"/>
      <c r="B182" s="55"/>
      <c r="C182" s="55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s="3" customFormat="1" x14ac:dyDescent="0.25">
      <c r="A183" s="53"/>
      <c r="B183" s="56"/>
      <c r="C183" s="56"/>
      <c r="D183" s="26" t="s">
        <v>24</v>
      </c>
      <c r="E183" s="10" t="s">
        <v>8</v>
      </c>
      <c r="F183" s="29">
        <v>93332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3" customFormat="1" ht="34.5" customHeight="1" x14ac:dyDescent="0.25">
      <c r="A184" s="51" t="s">
        <v>60</v>
      </c>
      <c r="B184" s="54" t="s">
        <v>80</v>
      </c>
      <c r="C184" s="54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s="3" customFormat="1" x14ac:dyDescent="0.25">
      <c r="A185" s="52"/>
      <c r="B185" s="55"/>
      <c r="C185" s="55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s="3" customFormat="1" x14ac:dyDescent="0.25">
      <c r="A186" s="52"/>
      <c r="B186" s="55"/>
      <c r="C186" s="55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s="3" customFormat="1" x14ac:dyDescent="0.25">
      <c r="A187" s="52"/>
      <c r="B187" s="55"/>
      <c r="C187" s="55"/>
      <c r="D187" s="6" t="s">
        <v>26</v>
      </c>
      <c r="E187" s="7" t="s">
        <v>8</v>
      </c>
      <c r="F187" s="33">
        <f>1+3991551-793651</f>
        <v>3197901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s="3" customFormat="1" x14ac:dyDescent="0.25">
      <c r="A188" s="52"/>
      <c r="B188" s="55"/>
      <c r="C188" s="55"/>
      <c r="D188" s="5" t="s">
        <v>27</v>
      </c>
      <c r="E188" s="7" t="s">
        <v>8</v>
      </c>
      <c r="F188" s="34">
        <f>1205447-239682</f>
        <v>965765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s="3" customFormat="1" x14ac:dyDescent="0.25">
      <c r="A189" s="52"/>
      <c r="B189" s="55"/>
      <c r="C189" s="55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s="3" customFormat="1" x14ac:dyDescent="0.25">
      <c r="A190" s="52"/>
      <c r="B190" s="55"/>
      <c r="C190" s="55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s="3" customFormat="1" x14ac:dyDescent="0.25">
      <c r="A191" s="52"/>
      <c r="B191" s="55"/>
      <c r="C191" s="55"/>
      <c r="D191" s="8" t="s">
        <v>6</v>
      </c>
      <c r="E191" s="15" t="s">
        <v>2</v>
      </c>
      <c r="F191" s="16">
        <v>645000</v>
      </c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s="3" customFormat="1" x14ac:dyDescent="0.25">
      <c r="A192" s="52"/>
      <c r="B192" s="55"/>
      <c r="C192" s="55"/>
      <c r="D192" s="8" t="s">
        <v>3</v>
      </c>
      <c r="E192" s="15" t="s">
        <v>5</v>
      </c>
      <c r="F192" s="16">
        <v>591340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s="3" customFormat="1" ht="15.75" x14ac:dyDescent="0.25">
      <c r="A193" s="52"/>
      <c r="B193" s="55"/>
      <c r="C193" s="55"/>
      <c r="D193" s="8" t="s">
        <v>42</v>
      </c>
      <c r="E193" s="15" t="s">
        <v>20</v>
      </c>
      <c r="F193" s="16">
        <v>116000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s="3" customFormat="1" x14ac:dyDescent="0.25">
      <c r="A194" s="52"/>
      <c r="B194" s="55"/>
      <c r="C194" s="55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s="3" customFormat="1" x14ac:dyDescent="0.25">
      <c r="A195" s="52"/>
      <c r="B195" s="55"/>
      <c r="C195" s="55"/>
      <c r="D195" s="45" t="s">
        <v>43</v>
      </c>
      <c r="E195" s="45"/>
      <c r="F195" s="4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s="3" customFormat="1" x14ac:dyDescent="0.25">
      <c r="A196" s="52"/>
      <c r="B196" s="55"/>
      <c r="C196" s="55"/>
      <c r="D196" s="45" t="s">
        <v>44</v>
      </c>
      <c r="E196" s="45"/>
      <c r="F196" s="45">
        <v>15000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s="3" customFormat="1" x14ac:dyDescent="0.25">
      <c r="A197" s="52"/>
      <c r="B197" s="55"/>
      <c r="C197" s="55"/>
      <c r="D197" s="17" t="s">
        <v>21</v>
      </c>
      <c r="E197" s="4" t="s">
        <v>22</v>
      </c>
      <c r="F197" s="23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s="3" customFormat="1" x14ac:dyDescent="0.25">
      <c r="A198" s="52"/>
      <c r="B198" s="55"/>
      <c r="C198" s="55"/>
      <c r="D198" s="17" t="s">
        <v>23</v>
      </c>
      <c r="E198" s="18" t="s">
        <v>16</v>
      </c>
      <c r="F198" s="10">
        <v>45000</v>
      </c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3" customFormat="1" ht="39" x14ac:dyDescent="0.25">
      <c r="A199" s="52"/>
      <c r="B199" s="55"/>
      <c r="C199" s="55"/>
      <c r="D199" s="38" t="s">
        <v>47</v>
      </c>
      <c r="E199" s="18"/>
      <c r="F199" s="10">
        <v>24000</v>
      </c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s="3" customFormat="1" x14ac:dyDescent="0.25">
      <c r="A200" s="52"/>
      <c r="B200" s="55"/>
      <c r="C200" s="55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3" customFormat="1" x14ac:dyDescent="0.25">
      <c r="A201" s="52"/>
      <c r="B201" s="55"/>
      <c r="C201" s="55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s="3" customFormat="1" ht="26.25" x14ac:dyDescent="0.25">
      <c r="A202" s="52"/>
      <c r="B202" s="55"/>
      <c r="C202" s="55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s="3" customFormat="1" x14ac:dyDescent="0.25">
      <c r="A203" s="52"/>
      <c r="B203" s="55"/>
      <c r="C203" s="55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s="3" customFormat="1" x14ac:dyDescent="0.25">
      <c r="A204" s="52"/>
      <c r="B204" s="55"/>
      <c r="C204" s="55"/>
      <c r="D204" s="17" t="s">
        <v>9</v>
      </c>
      <c r="E204" s="19" t="s">
        <v>18</v>
      </c>
      <c r="F204" s="23">
        <v>9</v>
      </c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s="3" customFormat="1" x14ac:dyDescent="0.25">
      <c r="A205" s="52"/>
      <c r="B205" s="55"/>
      <c r="C205" s="55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s="3" customFormat="1" x14ac:dyDescent="0.25">
      <c r="A206" s="52"/>
      <c r="B206" s="55"/>
      <c r="C206" s="55"/>
      <c r="D206" s="20" t="s">
        <v>7</v>
      </c>
      <c r="E206" s="22" t="s">
        <v>25</v>
      </c>
      <c r="F206" s="23">
        <v>5</v>
      </c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s="3" customFormat="1" x14ac:dyDescent="0.25">
      <c r="A207" s="52"/>
      <c r="B207" s="55"/>
      <c r="C207" s="55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s="3" customFormat="1" ht="26.25" x14ac:dyDescent="0.25">
      <c r="A208" s="52"/>
      <c r="B208" s="55"/>
      <c r="C208" s="55"/>
      <c r="D208" s="36" t="s">
        <v>41</v>
      </c>
      <c r="E208" s="18" t="s">
        <v>15</v>
      </c>
      <c r="F208" s="25">
        <v>47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s="3" customFormat="1" x14ac:dyDescent="0.25">
      <c r="A209" s="52"/>
      <c r="B209" s="55"/>
      <c r="C209" s="55"/>
      <c r="D209" s="6" t="s">
        <v>26</v>
      </c>
      <c r="E209" s="7" t="s">
        <v>8</v>
      </c>
      <c r="F209" s="34">
        <v>928352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s="3" customFormat="1" x14ac:dyDescent="0.25">
      <c r="A210" s="52"/>
      <c r="B210" s="55"/>
      <c r="C210" s="55"/>
      <c r="D210" s="5" t="s">
        <v>27</v>
      </c>
      <c r="E210" s="7" t="s">
        <v>8</v>
      </c>
      <c r="F210" s="34">
        <v>280363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s="3" customFormat="1" x14ac:dyDescent="0.25">
      <c r="A211" s="52"/>
      <c r="B211" s="55"/>
      <c r="C211" s="55"/>
      <c r="D211" s="60" t="s">
        <v>36</v>
      </c>
      <c r="E211" s="60"/>
      <c r="F211" s="60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s="3" customFormat="1" x14ac:dyDescent="0.25">
      <c r="A212" s="52"/>
      <c r="B212" s="55"/>
      <c r="C212" s="55"/>
      <c r="D212" s="26" t="s">
        <v>19</v>
      </c>
      <c r="E212" s="27" t="s">
        <v>8</v>
      </c>
      <c r="F212" s="29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s="3" customFormat="1" x14ac:dyDescent="0.25">
      <c r="A213" s="52"/>
      <c r="B213" s="55"/>
      <c r="C213" s="55"/>
      <c r="D213" s="26" t="s">
        <v>50</v>
      </c>
      <c r="E213" s="27"/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s="3" customFormat="1" x14ac:dyDescent="0.25">
      <c r="A214" s="52"/>
      <c r="B214" s="55"/>
      <c r="C214" s="55"/>
      <c r="D214" s="26" t="s">
        <v>52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s="3" customFormat="1" ht="39" x14ac:dyDescent="0.25">
      <c r="A215" s="52"/>
      <c r="B215" s="55"/>
      <c r="C215" s="55"/>
      <c r="D215" s="26" t="s">
        <v>48</v>
      </c>
      <c r="E215" s="27"/>
      <c r="F215" s="29">
        <v>1680</v>
      </c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s="3" customFormat="1" x14ac:dyDescent="0.25">
      <c r="A216" s="52"/>
      <c r="B216" s="55"/>
      <c r="C216" s="55"/>
      <c r="D216" s="26" t="s">
        <v>4</v>
      </c>
      <c r="E216" s="27" t="s">
        <v>17</v>
      </c>
      <c r="F216" s="29">
        <v>10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s="3" customFormat="1" ht="26.25" x14ac:dyDescent="0.25">
      <c r="A217" s="52"/>
      <c r="B217" s="55"/>
      <c r="C217" s="55"/>
      <c r="D217" s="26" t="s">
        <v>49</v>
      </c>
      <c r="E217" s="10" t="s">
        <v>8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s="3" customFormat="1" x14ac:dyDescent="0.25">
      <c r="A218" s="53"/>
      <c r="B218" s="56"/>
      <c r="C218" s="56"/>
      <c r="D218" s="26" t="s">
        <v>24</v>
      </c>
      <c r="E218" s="10" t="s">
        <v>8</v>
      </c>
      <c r="F218" s="29">
        <v>93332</v>
      </c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3" customFormat="1" ht="35.25" customHeight="1" x14ac:dyDescent="0.25">
      <c r="A219" s="51" t="s">
        <v>39</v>
      </c>
      <c r="B219" s="54" t="s">
        <v>87</v>
      </c>
      <c r="C219" s="54" t="s">
        <v>55</v>
      </c>
      <c r="D219" s="57" t="s">
        <v>28</v>
      </c>
      <c r="E219" s="58"/>
      <c r="F219" s="5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s="3" customFormat="1" x14ac:dyDescent="0.25">
      <c r="A220" s="52"/>
      <c r="B220" s="55"/>
      <c r="C220" s="55"/>
      <c r="D220" s="60" t="s">
        <v>29</v>
      </c>
      <c r="E220" s="60"/>
      <c r="F220" s="60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s="3" customFormat="1" x14ac:dyDescent="0.25">
      <c r="A221" s="52"/>
      <c r="B221" s="55"/>
      <c r="C221" s="55"/>
      <c r="D221" s="14" t="s">
        <v>40</v>
      </c>
      <c r="E221" s="10" t="s">
        <v>15</v>
      </c>
      <c r="F221" s="10">
        <v>92.56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s="3" customFormat="1" x14ac:dyDescent="0.25">
      <c r="A222" s="52"/>
      <c r="B222" s="55"/>
      <c r="C222" s="55"/>
      <c r="D222" s="6" t="s">
        <v>26</v>
      </c>
      <c r="E222" s="7" t="s">
        <v>8</v>
      </c>
      <c r="F222" s="33">
        <f>607595-396826+0.68</f>
        <v>210769.68</v>
      </c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s="3" customFormat="1" x14ac:dyDescent="0.25">
      <c r="A223" s="52"/>
      <c r="B223" s="55"/>
      <c r="C223" s="55"/>
      <c r="D223" s="5" t="s">
        <v>27</v>
      </c>
      <c r="E223" s="7" t="s">
        <v>8</v>
      </c>
      <c r="F223" s="34">
        <v>63652</v>
      </c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s="3" customFormat="1" x14ac:dyDescent="0.25">
      <c r="A224" s="52"/>
      <c r="B224" s="55"/>
      <c r="C224" s="55"/>
      <c r="D224" s="57" t="s">
        <v>30</v>
      </c>
      <c r="E224" s="58"/>
      <c r="F224" s="59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s="3" customFormat="1" x14ac:dyDescent="0.25">
      <c r="A225" s="52"/>
      <c r="B225" s="55"/>
      <c r="C225" s="55"/>
      <c r="D225" s="57" t="s">
        <v>31</v>
      </c>
      <c r="E225" s="58"/>
      <c r="F225" s="59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s="3" customFormat="1" x14ac:dyDescent="0.25">
      <c r="A226" s="52"/>
      <c r="B226" s="55"/>
      <c r="C226" s="55"/>
      <c r="D226" s="8" t="s">
        <v>6</v>
      </c>
      <c r="E226" s="15" t="s">
        <v>2</v>
      </c>
      <c r="F226" s="16">
        <v>645000</v>
      </c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s="3" customFormat="1" x14ac:dyDescent="0.25">
      <c r="A227" s="52"/>
      <c r="B227" s="55"/>
      <c r="C227" s="55"/>
      <c r="D227" s="8" t="s">
        <v>3</v>
      </c>
      <c r="E227" s="15" t="s">
        <v>5</v>
      </c>
      <c r="F227" s="16">
        <v>591340</v>
      </c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s="3" customFormat="1" ht="15.75" x14ac:dyDescent="0.25">
      <c r="A228" s="52"/>
      <c r="B228" s="55"/>
      <c r="C228" s="55"/>
      <c r="D228" s="8" t="s">
        <v>42</v>
      </c>
      <c r="E228" s="15" t="s">
        <v>20</v>
      </c>
      <c r="F228" s="16">
        <v>116000</v>
      </c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s="3" customFormat="1" x14ac:dyDescent="0.25">
      <c r="A229" s="52"/>
      <c r="B229" s="55"/>
      <c r="C229" s="55"/>
      <c r="D229" s="57" t="s">
        <v>32</v>
      </c>
      <c r="E229" s="58"/>
      <c r="F229" s="59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s="3" customFormat="1" x14ac:dyDescent="0.25">
      <c r="A230" s="52"/>
      <c r="B230" s="55"/>
      <c r="C230" s="55"/>
      <c r="D230" s="44" t="s">
        <v>43</v>
      </c>
      <c r="E230" s="44"/>
      <c r="F230" s="4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s="3" customFormat="1" x14ac:dyDescent="0.25">
      <c r="A231" s="52"/>
      <c r="B231" s="55"/>
      <c r="C231" s="55"/>
      <c r="D231" s="44" t="s">
        <v>44</v>
      </c>
      <c r="E231" s="44"/>
      <c r="F231" s="4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s="3" customFormat="1" x14ac:dyDescent="0.25">
      <c r="A232" s="52"/>
      <c r="B232" s="55"/>
      <c r="C232" s="55"/>
      <c r="D232" s="17" t="s">
        <v>21</v>
      </c>
      <c r="E232" s="4" t="s">
        <v>22</v>
      </c>
      <c r="F232" s="23">
        <v>25000</v>
      </c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s="3" customFormat="1" x14ac:dyDescent="0.25">
      <c r="A233" s="52"/>
      <c r="B233" s="55"/>
      <c r="C233" s="55"/>
      <c r="D233" s="17" t="s">
        <v>23</v>
      </c>
      <c r="E233" s="18" t="s">
        <v>16</v>
      </c>
      <c r="F233" s="10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s="3" customFormat="1" ht="39" x14ac:dyDescent="0.25">
      <c r="A234" s="52"/>
      <c r="B234" s="55"/>
      <c r="C234" s="55"/>
      <c r="D234" s="38" t="s">
        <v>47</v>
      </c>
      <c r="E234" s="18"/>
      <c r="F234" s="10">
        <v>24000</v>
      </c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s="3" customFormat="1" x14ac:dyDescent="0.25">
      <c r="A235" s="52"/>
      <c r="B235" s="55"/>
      <c r="C235" s="55"/>
      <c r="D235" s="17" t="s">
        <v>24</v>
      </c>
      <c r="E235" s="18"/>
      <c r="F235" s="10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s="3" customFormat="1" x14ac:dyDescent="0.25">
      <c r="A236" s="52"/>
      <c r="B236" s="55"/>
      <c r="C236" s="55"/>
      <c r="D236" s="17" t="s">
        <v>45</v>
      </c>
      <c r="E236" s="18"/>
      <c r="F236" s="10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s="3" customFormat="1" ht="26.25" x14ac:dyDescent="0.25">
      <c r="A237" s="52"/>
      <c r="B237" s="55"/>
      <c r="C237" s="55"/>
      <c r="D237" s="38" t="s">
        <v>46</v>
      </c>
      <c r="E237" s="18"/>
      <c r="F237" s="10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s="3" customFormat="1" x14ac:dyDescent="0.25">
      <c r="A238" s="52"/>
      <c r="B238" s="55"/>
      <c r="C238" s="55"/>
      <c r="D238" s="57" t="s">
        <v>34</v>
      </c>
      <c r="E238" s="58"/>
      <c r="F238" s="59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s="3" customFormat="1" ht="25.5" x14ac:dyDescent="0.25">
      <c r="A239" s="52"/>
      <c r="B239" s="55"/>
      <c r="C239" s="55"/>
      <c r="D239" s="17" t="s">
        <v>9</v>
      </c>
      <c r="E239" s="39" t="s">
        <v>18</v>
      </c>
      <c r="F239" s="23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s="3" customFormat="1" x14ac:dyDescent="0.25">
      <c r="A240" s="52"/>
      <c r="B240" s="55"/>
      <c r="C240" s="55"/>
      <c r="D240" s="57" t="s">
        <v>33</v>
      </c>
      <c r="E240" s="58"/>
      <c r="F240" s="59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s="3" customFormat="1" x14ac:dyDescent="0.25">
      <c r="A241" s="52"/>
      <c r="B241" s="55"/>
      <c r="C241" s="55"/>
      <c r="D241" s="20" t="s">
        <v>7</v>
      </c>
      <c r="E241" s="22" t="s">
        <v>25</v>
      </c>
      <c r="F241" s="23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s="3" customFormat="1" x14ac:dyDescent="0.25">
      <c r="A242" s="52"/>
      <c r="B242" s="55"/>
      <c r="C242" s="55"/>
      <c r="D242" s="60" t="s">
        <v>35</v>
      </c>
      <c r="E242" s="60"/>
      <c r="F242" s="60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3" customFormat="1" ht="26.25" x14ac:dyDescent="0.25">
      <c r="A243" s="52"/>
      <c r="B243" s="55"/>
      <c r="C243" s="55"/>
      <c r="D243" s="36" t="s">
        <v>41</v>
      </c>
      <c r="E243" s="18" t="s">
        <v>15</v>
      </c>
      <c r="F243" s="25">
        <v>47</v>
      </c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s="3" customFormat="1" x14ac:dyDescent="0.25">
      <c r="A244" s="52"/>
      <c r="B244" s="55"/>
      <c r="C244" s="55"/>
      <c r="D244" s="6" t="s">
        <v>26</v>
      </c>
      <c r="E244" s="7" t="s">
        <v>8</v>
      </c>
      <c r="F244" s="34">
        <v>348133</v>
      </c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s="3" customFormat="1" x14ac:dyDescent="0.25">
      <c r="A245" s="52"/>
      <c r="B245" s="55"/>
      <c r="C245" s="55"/>
      <c r="D245" s="5" t="s">
        <v>27</v>
      </c>
      <c r="E245" s="7" t="s">
        <v>8</v>
      </c>
      <c r="F245" s="34">
        <v>105135</v>
      </c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s="3" customFormat="1" x14ac:dyDescent="0.25">
      <c r="A246" s="52"/>
      <c r="B246" s="55"/>
      <c r="C246" s="55"/>
      <c r="D246" s="60" t="s">
        <v>36</v>
      </c>
      <c r="E246" s="60"/>
      <c r="F246" s="60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s="3" customFormat="1" x14ac:dyDescent="0.25">
      <c r="A247" s="52"/>
      <c r="B247" s="55"/>
      <c r="C247" s="55"/>
      <c r="D247" s="26" t="s">
        <v>19</v>
      </c>
      <c r="E247" s="27" t="s">
        <v>8</v>
      </c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s="3" customFormat="1" x14ac:dyDescent="0.25">
      <c r="A248" s="52"/>
      <c r="B248" s="55"/>
      <c r="C248" s="55"/>
      <c r="D248" s="26" t="s">
        <v>50</v>
      </c>
      <c r="E248" s="27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3" customFormat="1" x14ac:dyDescent="0.25">
      <c r="A249" s="52"/>
      <c r="B249" s="55"/>
      <c r="C249" s="55"/>
      <c r="D249" s="26" t="s">
        <v>52</v>
      </c>
      <c r="E249" s="27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s="3" customFormat="1" ht="39" x14ac:dyDescent="0.25">
      <c r="A250" s="52"/>
      <c r="B250" s="55"/>
      <c r="C250" s="55"/>
      <c r="D250" s="26" t="s">
        <v>48</v>
      </c>
      <c r="E250" s="27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s="3" customFormat="1" x14ac:dyDescent="0.25">
      <c r="A251" s="52"/>
      <c r="B251" s="55"/>
      <c r="C251" s="55"/>
      <c r="D251" s="26" t="s">
        <v>62</v>
      </c>
      <c r="E251" s="10" t="s">
        <v>8</v>
      </c>
      <c r="F251" s="2">
        <v>3100000</v>
      </c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s="3" customFormat="1" ht="26.25" x14ac:dyDescent="0.25">
      <c r="A252" s="52"/>
      <c r="B252" s="55"/>
      <c r="C252" s="55"/>
      <c r="D252" s="26" t="s">
        <v>49</v>
      </c>
      <c r="E252" s="10" t="s">
        <v>8</v>
      </c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s="3" customFormat="1" x14ac:dyDescent="0.25">
      <c r="A253" s="53"/>
      <c r="B253" s="56"/>
      <c r="C253" s="56"/>
      <c r="D253" s="26" t="s">
        <v>24</v>
      </c>
      <c r="E253" s="10" t="s">
        <v>8</v>
      </c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s="3" customFormat="1" ht="21" customHeight="1" x14ac:dyDescent="0.25">
      <c r="A254" s="51" t="s">
        <v>39</v>
      </c>
      <c r="B254" s="54" t="s">
        <v>88</v>
      </c>
      <c r="C254" s="54" t="s">
        <v>55</v>
      </c>
      <c r="D254" s="57" t="s">
        <v>28</v>
      </c>
      <c r="E254" s="58"/>
      <c r="F254" s="59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s="3" customFormat="1" x14ac:dyDescent="0.25">
      <c r="A255" s="52"/>
      <c r="B255" s="55"/>
      <c r="C255" s="55"/>
      <c r="D255" s="60" t="s">
        <v>29</v>
      </c>
      <c r="E255" s="60"/>
      <c r="F255" s="60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s="3" customFormat="1" x14ac:dyDescent="0.25">
      <c r="A256" s="52"/>
      <c r="B256" s="55"/>
      <c r="C256" s="55"/>
      <c r="D256" s="14" t="s">
        <v>40</v>
      </c>
      <c r="E256" s="10" t="s">
        <v>15</v>
      </c>
      <c r="F256" s="10">
        <v>92.56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s="3" customFormat="1" x14ac:dyDescent="0.25">
      <c r="A257" s="52"/>
      <c r="B257" s="55"/>
      <c r="C257" s="55"/>
      <c r="D257" s="6" t="s">
        <v>26</v>
      </c>
      <c r="E257" s="7" t="s">
        <v>8</v>
      </c>
      <c r="F257" s="33">
        <f>607595-396826+0.68</f>
        <v>210769.68</v>
      </c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s="3" customFormat="1" x14ac:dyDescent="0.25">
      <c r="A258" s="52"/>
      <c r="B258" s="55"/>
      <c r="C258" s="55"/>
      <c r="D258" s="5" t="s">
        <v>27</v>
      </c>
      <c r="E258" s="7" t="s">
        <v>8</v>
      </c>
      <c r="F258" s="34">
        <v>63652</v>
      </c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s="3" customFormat="1" x14ac:dyDescent="0.25">
      <c r="A259" s="52"/>
      <c r="B259" s="55"/>
      <c r="C259" s="55"/>
      <c r="D259" s="57" t="s">
        <v>30</v>
      </c>
      <c r="E259" s="58"/>
      <c r="F259" s="59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s="3" customFormat="1" x14ac:dyDescent="0.25">
      <c r="A260" s="52"/>
      <c r="B260" s="55"/>
      <c r="C260" s="55"/>
      <c r="D260" s="57" t="s">
        <v>31</v>
      </c>
      <c r="E260" s="58"/>
      <c r="F260" s="59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s="3" customFormat="1" x14ac:dyDescent="0.25">
      <c r="A261" s="52"/>
      <c r="B261" s="55"/>
      <c r="C261" s="55"/>
      <c r="D261" s="8" t="s">
        <v>6</v>
      </c>
      <c r="E261" s="15" t="s">
        <v>2</v>
      </c>
      <c r="F261" s="16">
        <v>645000</v>
      </c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s="3" customFormat="1" x14ac:dyDescent="0.25">
      <c r="A262" s="52"/>
      <c r="B262" s="55"/>
      <c r="C262" s="55"/>
      <c r="D262" s="8" t="s">
        <v>3</v>
      </c>
      <c r="E262" s="15" t="s">
        <v>5</v>
      </c>
      <c r="F262" s="16">
        <v>591340</v>
      </c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s="3" customFormat="1" ht="15.75" x14ac:dyDescent="0.25">
      <c r="A263" s="52"/>
      <c r="B263" s="55"/>
      <c r="C263" s="55"/>
      <c r="D263" s="8" t="s">
        <v>42</v>
      </c>
      <c r="E263" s="15" t="s">
        <v>20</v>
      </c>
      <c r="F263" s="16">
        <v>116000</v>
      </c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s="3" customFormat="1" ht="28.5" customHeight="1" x14ac:dyDescent="0.25">
      <c r="A264" s="52"/>
      <c r="B264" s="55"/>
      <c r="C264" s="55"/>
      <c r="D264" s="57" t="s">
        <v>32</v>
      </c>
      <c r="E264" s="58"/>
      <c r="F264" s="59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s="3" customFormat="1" x14ac:dyDescent="0.25">
      <c r="A265" s="52"/>
      <c r="B265" s="55"/>
      <c r="C265" s="55"/>
      <c r="D265" s="40" t="s">
        <v>43</v>
      </c>
      <c r="E265" s="40"/>
      <c r="F265" s="40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s="3" customFormat="1" x14ac:dyDescent="0.25">
      <c r="A266" s="52"/>
      <c r="B266" s="55"/>
      <c r="C266" s="55"/>
      <c r="D266" s="40" t="s">
        <v>44</v>
      </c>
      <c r="E266" s="40"/>
      <c r="F266" s="40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s="3" customFormat="1" x14ac:dyDescent="0.25">
      <c r="A267" s="52"/>
      <c r="B267" s="55"/>
      <c r="C267" s="55"/>
      <c r="D267" s="17" t="s">
        <v>21</v>
      </c>
      <c r="E267" s="4" t="s">
        <v>22</v>
      </c>
      <c r="F267" s="23">
        <v>25000</v>
      </c>
      <c r="G267" s="1"/>
      <c r="H267" s="1"/>
      <c r="I267" s="1"/>
      <c r="J267" s="1"/>
      <c r="K267" s="31">
        <f>I278+H163+H32</f>
        <v>17637977.25</v>
      </c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s="3" customFormat="1" x14ac:dyDescent="0.25">
      <c r="A268" s="52"/>
      <c r="B268" s="55"/>
      <c r="C268" s="55"/>
      <c r="D268" s="17" t="s">
        <v>23</v>
      </c>
      <c r="E268" s="18" t="s">
        <v>16</v>
      </c>
      <c r="F268" s="10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s="3" customFormat="1" ht="39" x14ac:dyDescent="0.25">
      <c r="A269" s="52"/>
      <c r="B269" s="55"/>
      <c r="C269" s="55"/>
      <c r="D269" s="38" t="s">
        <v>47</v>
      </c>
      <c r="E269" s="18"/>
      <c r="F269" s="10">
        <v>24000</v>
      </c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s="3" customFormat="1" x14ac:dyDescent="0.25">
      <c r="A270" s="52"/>
      <c r="B270" s="55"/>
      <c r="C270" s="55"/>
      <c r="D270" s="17" t="s">
        <v>24</v>
      </c>
      <c r="E270" s="18"/>
      <c r="F270" s="10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s="3" customFormat="1" x14ac:dyDescent="0.25">
      <c r="A271" s="52"/>
      <c r="B271" s="55"/>
      <c r="C271" s="55"/>
      <c r="D271" s="17" t="s">
        <v>45</v>
      </c>
      <c r="E271" s="18"/>
      <c r="F271" s="10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s="3" customFormat="1" ht="26.25" x14ac:dyDescent="0.25">
      <c r="A272" s="52"/>
      <c r="B272" s="55"/>
      <c r="C272" s="55"/>
      <c r="D272" s="38" t="s">
        <v>46</v>
      </c>
      <c r="E272" s="18"/>
      <c r="F272" s="10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s="3" customFormat="1" ht="28.5" customHeight="1" x14ac:dyDescent="0.25">
      <c r="A273" s="52"/>
      <c r="B273" s="55"/>
      <c r="C273" s="55"/>
      <c r="D273" s="57" t="s">
        <v>34</v>
      </c>
      <c r="E273" s="58"/>
      <c r="F273" s="59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s="3" customFormat="1" ht="25.5" x14ac:dyDescent="0.25">
      <c r="A274" s="52"/>
      <c r="B274" s="55"/>
      <c r="C274" s="55"/>
      <c r="D274" s="17" t="s">
        <v>9</v>
      </c>
      <c r="E274" s="39" t="s">
        <v>18</v>
      </c>
      <c r="F274" s="23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s="3" customFormat="1" x14ac:dyDescent="0.25">
      <c r="A275" s="52"/>
      <c r="B275" s="55"/>
      <c r="C275" s="55"/>
      <c r="D275" s="57" t="s">
        <v>33</v>
      </c>
      <c r="E275" s="58"/>
      <c r="F275" s="59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s="3" customFormat="1" x14ac:dyDescent="0.25">
      <c r="A276" s="52"/>
      <c r="B276" s="55"/>
      <c r="C276" s="55"/>
      <c r="D276" s="20" t="s">
        <v>7</v>
      </c>
      <c r="E276" s="22" t="s">
        <v>25</v>
      </c>
      <c r="F276" s="23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s="3" customFormat="1" ht="31.5" customHeight="1" x14ac:dyDescent="0.25">
      <c r="A277" s="52"/>
      <c r="B277" s="55"/>
      <c r="C277" s="55"/>
      <c r="D277" s="60" t="s">
        <v>35</v>
      </c>
      <c r="E277" s="60"/>
      <c r="F277" s="60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s="3" customFormat="1" ht="26.25" x14ac:dyDescent="0.25">
      <c r="A278" s="52"/>
      <c r="B278" s="55"/>
      <c r="C278" s="55"/>
      <c r="D278" s="36" t="s">
        <v>41</v>
      </c>
      <c r="E278" s="18" t="s">
        <v>15</v>
      </c>
      <c r="F278" s="25">
        <v>47</v>
      </c>
      <c r="G278" s="1"/>
      <c r="H278" s="1"/>
      <c r="I278" s="46">
        <f>F257+F258+F261+F262+F263+F267+F269+F279+F280+F286</f>
        <v>5229029.68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s="3" customFormat="1" x14ac:dyDescent="0.25">
      <c r="A279" s="52"/>
      <c r="B279" s="55"/>
      <c r="C279" s="55"/>
      <c r="D279" s="6" t="s">
        <v>26</v>
      </c>
      <c r="E279" s="7" t="s">
        <v>8</v>
      </c>
      <c r="F279" s="34">
        <v>348133</v>
      </c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s="3" customFormat="1" x14ac:dyDescent="0.25">
      <c r="A280" s="52"/>
      <c r="B280" s="55"/>
      <c r="C280" s="55"/>
      <c r="D280" s="5" t="s">
        <v>27</v>
      </c>
      <c r="E280" s="7" t="s">
        <v>8</v>
      </c>
      <c r="F280" s="34">
        <v>105135</v>
      </c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s="3" customFormat="1" x14ac:dyDescent="0.25">
      <c r="A281" s="52"/>
      <c r="B281" s="55"/>
      <c r="C281" s="55"/>
      <c r="D281" s="60" t="s">
        <v>36</v>
      </c>
      <c r="E281" s="60"/>
      <c r="F281" s="60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s="3" customFormat="1" x14ac:dyDescent="0.25">
      <c r="A282" s="52"/>
      <c r="B282" s="55"/>
      <c r="C282" s="55"/>
      <c r="D282" s="26" t="s">
        <v>19</v>
      </c>
      <c r="E282" s="27" t="s">
        <v>8</v>
      </c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s="3" customFormat="1" x14ac:dyDescent="0.25">
      <c r="A283" s="52"/>
      <c r="B283" s="55"/>
      <c r="C283" s="55"/>
      <c r="D283" s="26" t="s">
        <v>50</v>
      </c>
      <c r="E283" s="27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s="3" customFormat="1" x14ac:dyDescent="0.25">
      <c r="A284" s="52"/>
      <c r="B284" s="55"/>
      <c r="C284" s="55"/>
      <c r="D284" s="26" t="s">
        <v>52</v>
      </c>
      <c r="E284" s="27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s="3" customFormat="1" ht="39" x14ac:dyDescent="0.25">
      <c r="A285" s="52"/>
      <c r="B285" s="55"/>
      <c r="C285" s="55"/>
      <c r="D285" s="26" t="s">
        <v>48</v>
      </c>
      <c r="E285" s="27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s="3" customFormat="1" x14ac:dyDescent="0.25">
      <c r="A286" s="52"/>
      <c r="B286" s="55"/>
      <c r="C286" s="55"/>
      <c r="D286" s="26" t="s">
        <v>62</v>
      </c>
      <c r="E286" s="10" t="s">
        <v>8</v>
      </c>
      <c r="F286" s="2">
        <v>3100000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s="3" customFormat="1" ht="26.25" x14ac:dyDescent="0.25">
      <c r="A287" s="52"/>
      <c r="B287" s="55"/>
      <c r="C287" s="55"/>
      <c r="D287" s="26" t="s">
        <v>49</v>
      </c>
      <c r="E287" s="10" t="s">
        <v>8</v>
      </c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s="3" customFormat="1" x14ac:dyDescent="0.25">
      <c r="A288" s="53"/>
      <c r="B288" s="56"/>
      <c r="C288" s="56"/>
      <c r="D288" s="26" t="s">
        <v>24</v>
      </c>
      <c r="E288" s="10" t="s">
        <v>8</v>
      </c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6" ht="35.25" customHeight="1" x14ac:dyDescent="0.25">
      <c r="A289" s="51" t="s">
        <v>39</v>
      </c>
      <c r="B289" s="54" t="s">
        <v>81</v>
      </c>
      <c r="C289" s="54" t="s">
        <v>55</v>
      </c>
      <c r="D289" s="57" t="s">
        <v>28</v>
      </c>
      <c r="E289" s="58"/>
      <c r="F289" s="59"/>
    </row>
    <row r="290" spans="1:6" x14ac:dyDescent="0.25">
      <c r="A290" s="52"/>
      <c r="B290" s="55"/>
      <c r="C290" s="55"/>
      <c r="D290" s="60" t="s">
        <v>29</v>
      </c>
      <c r="E290" s="60"/>
      <c r="F290" s="60"/>
    </row>
    <row r="291" spans="1:6" x14ac:dyDescent="0.25">
      <c r="A291" s="52"/>
      <c r="B291" s="55"/>
      <c r="C291" s="55"/>
      <c r="D291" s="14" t="s">
        <v>40</v>
      </c>
      <c r="E291" s="10" t="s">
        <v>15</v>
      </c>
      <c r="F291" s="10">
        <v>92.56</v>
      </c>
    </row>
    <row r="292" spans="1:6" x14ac:dyDescent="0.25">
      <c r="A292" s="52"/>
      <c r="B292" s="55"/>
      <c r="C292" s="55"/>
      <c r="D292" s="6" t="s">
        <v>26</v>
      </c>
      <c r="E292" s="7" t="s">
        <v>8</v>
      </c>
      <c r="F292" s="33">
        <f>607595-396826+0.68</f>
        <v>210769.68</v>
      </c>
    </row>
    <row r="293" spans="1:6" x14ac:dyDescent="0.25">
      <c r="A293" s="52"/>
      <c r="B293" s="55"/>
      <c r="C293" s="55"/>
      <c r="D293" s="5" t="s">
        <v>27</v>
      </c>
      <c r="E293" s="7" t="s">
        <v>8</v>
      </c>
      <c r="F293" s="34">
        <v>63652</v>
      </c>
    </row>
    <row r="294" spans="1:6" x14ac:dyDescent="0.25">
      <c r="A294" s="52"/>
      <c r="B294" s="55"/>
      <c r="C294" s="55"/>
      <c r="D294" s="57" t="s">
        <v>30</v>
      </c>
      <c r="E294" s="58"/>
      <c r="F294" s="59"/>
    </row>
    <row r="295" spans="1:6" x14ac:dyDescent="0.25">
      <c r="A295" s="52"/>
      <c r="B295" s="55"/>
      <c r="C295" s="55"/>
      <c r="D295" s="57" t="s">
        <v>31</v>
      </c>
      <c r="E295" s="58"/>
      <c r="F295" s="59"/>
    </row>
    <row r="296" spans="1:6" x14ac:dyDescent="0.25">
      <c r="A296" s="52"/>
      <c r="B296" s="55"/>
      <c r="C296" s="55"/>
      <c r="D296" s="8" t="s">
        <v>6</v>
      </c>
      <c r="E296" s="15" t="s">
        <v>2</v>
      </c>
      <c r="F296" s="16">
        <v>645000</v>
      </c>
    </row>
    <row r="297" spans="1:6" x14ac:dyDescent="0.25">
      <c r="A297" s="52"/>
      <c r="B297" s="55"/>
      <c r="C297" s="55"/>
      <c r="D297" s="8" t="s">
        <v>3</v>
      </c>
      <c r="E297" s="15" t="s">
        <v>5</v>
      </c>
      <c r="F297" s="16">
        <v>591340</v>
      </c>
    </row>
    <row r="298" spans="1:6" ht="15.75" x14ac:dyDescent="0.25">
      <c r="A298" s="52"/>
      <c r="B298" s="55"/>
      <c r="C298" s="55"/>
      <c r="D298" s="8" t="s">
        <v>42</v>
      </c>
      <c r="E298" s="15" t="s">
        <v>20</v>
      </c>
      <c r="F298" s="16">
        <v>116000</v>
      </c>
    </row>
    <row r="299" spans="1:6" x14ac:dyDescent="0.25">
      <c r="A299" s="52"/>
      <c r="B299" s="55"/>
      <c r="C299" s="55"/>
      <c r="D299" s="57" t="s">
        <v>32</v>
      </c>
      <c r="E299" s="58"/>
      <c r="F299" s="59"/>
    </row>
    <row r="300" spans="1:6" x14ac:dyDescent="0.25">
      <c r="A300" s="52"/>
      <c r="B300" s="55"/>
      <c r="C300" s="55"/>
      <c r="D300" s="45" t="s">
        <v>43</v>
      </c>
      <c r="E300" s="45"/>
      <c r="F300" s="45"/>
    </row>
    <row r="301" spans="1:6" x14ac:dyDescent="0.25">
      <c r="A301" s="52"/>
      <c r="B301" s="55"/>
      <c r="C301" s="55"/>
      <c r="D301" s="45" t="s">
        <v>44</v>
      </c>
      <c r="E301" s="45"/>
      <c r="F301" s="45"/>
    </row>
    <row r="302" spans="1:6" x14ac:dyDescent="0.25">
      <c r="A302" s="52"/>
      <c r="B302" s="55"/>
      <c r="C302" s="55"/>
      <c r="D302" s="17" t="s">
        <v>21</v>
      </c>
      <c r="E302" s="4" t="s">
        <v>22</v>
      </c>
      <c r="F302" s="23">
        <v>25000</v>
      </c>
    </row>
    <row r="303" spans="1:6" x14ac:dyDescent="0.25">
      <c r="A303" s="52"/>
      <c r="B303" s="55"/>
      <c r="C303" s="55"/>
      <c r="D303" s="17" t="s">
        <v>23</v>
      </c>
      <c r="E303" s="18" t="s">
        <v>16</v>
      </c>
      <c r="F303" s="10"/>
    </row>
    <row r="304" spans="1:6" ht="39" x14ac:dyDescent="0.25">
      <c r="A304" s="52"/>
      <c r="B304" s="55"/>
      <c r="C304" s="55"/>
      <c r="D304" s="38" t="s">
        <v>47</v>
      </c>
      <c r="E304" s="18"/>
      <c r="F304" s="10">
        <v>24000</v>
      </c>
    </row>
    <row r="305" spans="1:6" x14ac:dyDescent="0.25">
      <c r="A305" s="52"/>
      <c r="B305" s="55"/>
      <c r="C305" s="55"/>
      <c r="D305" s="17" t="s">
        <v>24</v>
      </c>
      <c r="E305" s="18"/>
      <c r="F305" s="10"/>
    </row>
    <row r="306" spans="1:6" x14ac:dyDescent="0.25">
      <c r="A306" s="52"/>
      <c r="B306" s="55"/>
      <c r="C306" s="55"/>
      <c r="D306" s="17" t="s">
        <v>45</v>
      </c>
      <c r="E306" s="18"/>
      <c r="F306" s="10"/>
    </row>
    <row r="307" spans="1:6" ht="26.25" x14ac:dyDescent="0.25">
      <c r="A307" s="52"/>
      <c r="B307" s="55"/>
      <c r="C307" s="55"/>
      <c r="D307" s="38" t="s">
        <v>46</v>
      </c>
      <c r="E307" s="18"/>
      <c r="F307" s="10"/>
    </row>
    <row r="308" spans="1:6" x14ac:dyDescent="0.25">
      <c r="A308" s="52"/>
      <c r="B308" s="55"/>
      <c r="C308" s="55"/>
      <c r="D308" s="57" t="s">
        <v>34</v>
      </c>
      <c r="E308" s="58"/>
      <c r="F308" s="59"/>
    </row>
    <row r="309" spans="1:6" ht="25.5" x14ac:dyDescent="0.25">
      <c r="A309" s="52"/>
      <c r="B309" s="55"/>
      <c r="C309" s="55"/>
      <c r="D309" s="17" t="s">
        <v>9</v>
      </c>
      <c r="E309" s="39" t="s">
        <v>18</v>
      </c>
      <c r="F309" s="23"/>
    </row>
    <row r="310" spans="1:6" x14ac:dyDescent="0.25">
      <c r="A310" s="52"/>
      <c r="B310" s="55"/>
      <c r="C310" s="55"/>
      <c r="D310" s="57" t="s">
        <v>33</v>
      </c>
      <c r="E310" s="58"/>
      <c r="F310" s="59"/>
    </row>
    <row r="311" spans="1:6" x14ac:dyDescent="0.25">
      <c r="A311" s="52"/>
      <c r="B311" s="55"/>
      <c r="C311" s="55"/>
      <c r="D311" s="20" t="s">
        <v>7</v>
      </c>
      <c r="E311" s="22" t="s">
        <v>25</v>
      </c>
      <c r="F311" s="23"/>
    </row>
    <row r="312" spans="1:6" x14ac:dyDescent="0.25">
      <c r="A312" s="52"/>
      <c r="B312" s="55"/>
      <c r="C312" s="55"/>
      <c r="D312" s="60" t="s">
        <v>35</v>
      </c>
      <c r="E312" s="60"/>
      <c r="F312" s="60"/>
    </row>
    <row r="313" spans="1:6" ht="26.25" x14ac:dyDescent="0.25">
      <c r="A313" s="52"/>
      <c r="B313" s="55"/>
      <c r="C313" s="55"/>
      <c r="D313" s="36" t="s">
        <v>41</v>
      </c>
      <c r="E313" s="18" t="s">
        <v>15</v>
      </c>
      <c r="F313" s="25">
        <v>47</v>
      </c>
    </row>
    <row r="314" spans="1:6" x14ac:dyDescent="0.25">
      <c r="A314" s="52"/>
      <c r="B314" s="55"/>
      <c r="C314" s="55"/>
      <c r="D314" s="6" t="s">
        <v>26</v>
      </c>
      <c r="E314" s="7" t="s">
        <v>8</v>
      </c>
      <c r="F314" s="34">
        <v>348133</v>
      </c>
    </row>
    <row r="315" spans="1:6" x14ac:dyDescent="0.25">
      <c r="A315" s="52"/>
      <c r="B315" s="55"/>
      <c r="C315" s="55"/>
      <c r="D315" s="5" t="s">
        <v>27</v>
      </c>
      <c r="E315" s="7" t="s">
        <v>8</v>
      </c>
      <c r="F315" s="34">
        <v>105135</v>
      </c>
    </row>
    <row r="316" spans="1:6" x14ac:dyDescent="0.25">
      <c r="A316" s="52"/>
      <c r="B316" s="55"/>
      <c r="C316" s="55"/>
      <c r="D316" s="60" t="s">
        <v>36</v>
      </c>
      <c r="E316" s="60"/>
      <c r="F316" s="60"/>
    </row>
    <row r="317" spans="1:6" x14ac:dyDescent="0.25">
      <c r="A317" s="52"/>
      <c r="B317" s="55"/>
      <c r="C317" s="55"/>
      <c r="D317" s="26" t="s">
        <v>19</v>
      </c>
      <c r="E317" s="27" t="s">
        <v>8</v>
      </c>
      <c r="F317" s="2"/>
    </row>
    <row r="318" spans="1:6" x14ac:dyDescent="0.25">
      <c r="A318" s="52"/>
      <c r="B318" s="55"/>
      <c r="C318" s="55"/>
      <c r="D318" s="26" t="s">
        <v>50</v>
      </c>
      <c r="E318" s="27"/>
      <c r="F318" s="2"/>
    </row>
    <row r="319" spans="1:6" x14ac:dyDescent="0.25">
      <c r="A319" s="52"/>
      <c r="B319" s="55"/>
      <c r="C319" s="55"/>
      <c r="D319" s="26" t="s">
        <v>52</v>
      </c>
      <c r="E319" s="27"/>
      <c r="F319" s="2"/>
    </row>
    <row r="320" spans="1:6" ht="39" x14ac:dyDescent="0.25">
      <c r="A320" s="52"/>
      <c r="B320" s="55"/>
      <c r="C320" s="55"/>
      <c r="D320" s="26" t="s">
        <v>48</v>
      </c>
      <c r="E320" s="27"/>
      <c r="F320" s="2"/>
    </row>
    <row r="321" spans="1:6" x14ac:dyDescent="0.25">
      <c r="A321" s="52"/>
      <c r="B321" s="55"/>
      <c r="C321" s="55"/>
      <c r="D321" s="26" t="s">
        <v>62</v>
      </c>
      <c r="E321" s="10" t="s">
        <v>8</v>
      </c>
      <c r="F321" s="2">
        <v>3100000</v>
      </c>
    </row>
    <row r="322" spans="1:6" ht="26.25" x14ac:dyDescent="0.25">
      <c r="A322" s="52"/>
      <c r="B322" s="55"/>
      <c r="C322" s="55"/>
      <c r="D322" s="26" t="s">
        <v>49</v>
      </c>
      <c r="E322" s="10" t="s">
        <v>8</v>
      </c>
      <c r="F322" s="2"/>
    </row>
    <row r="323" spans="1:6" x14ac:dyDescent="0.25">
      <c r="A323" s="53"/>
      <c r="B323" s="56"/>
      <c r="C323" s="56"/>
      <c r="D323" s="26" t="s">
        <v>24</v>
      </c>
      <c r="E323" s="10" t="s">
        <v>8</v>
      </c>
      <c r="F323" s="2"/>
    </row>
    <row r="324" spans="1:6" ht="35.25" customHeight="1" x14ac:dyDescent="0.25">
      <c r="A324" s="51" t="s">
        <v>39</v>
      </c>
      <c r="B324" s="54" t="s">
        <v>82</v>
      </c>
      <c r="C324" s="54" t="s">
        <v>55</v>
      </c>
      <c r="D324" s="57" t="s">
        <v>28</v>
      </c>
      <c r="E324" s="58"/>
      <c r="F324" s="59"/>
    </row>
    <row r="325" spans="1:6" x14ac:dyDescent="0.25">
      <c r="A325" s="52"/>
      <c r="B325" s="55"/>
      <c r="C325" s="55"/>
      <c r="D325" s="60" t="s">
        <v>29</v>
      </c>
      <c r="E325" s="60"/>
      <c r="F325" s="60"/>
    </row>
    <row r="326" spans="1:6" x14ac:dyDescent="0.25">
      <c r="A326" s="52"/>
      <c r="B326" s="55"/>
      <c r="C326" s="55"/>
      <c r="D326" s="14" t="s">
        <v>40</v>
      </c>
      <c r="E326" s="10" t="s">
        <v>15</v>
      </c>
      <c r="F326" s="10">
        <v>92.56</v>
      </c>
    </row>
    <row r="327" spans="1:6" x14ac:dyDescent="0.25">
      <c r="A327" s="52"/>
      <c r="B327" s="55"/>
      <c r="C327" s="55"/>
      <c r="D327" s="6" t="s">
        <v>26</v>
      </c>
      <c r="E327" s="7" t="s">
        <v>8</v>
      </c>
      <c r="F327" s="33">
        <f>607595-396826+0.68</f>
        <v>210769.68</v>
      </c>
    </row>
    <row r="328" spans="1:6" x14ac:dyDescent="0.25">
      <c r="A328" s="52"/>
      <c r="B328" s="55"/>
      <c r="C328" s="55"/>
      <c r="D328" s="5" t="s">
        <v>27</v>
      </c>
      <c r="E328" s="7" t="s">
        <v>8</v>
      </c>
      <c r="F328" s="34">
        <v>63652</v>
      </c>
    </row>
    <row r="329" spans="1:6" x14ac:dyDescent="0.25">
      <c r="A329" s="52"/>
      <c r="B329" s="55"/>
      <c r="C329" s="55"/>
      <c r="D329" s="57" t="s">
        <v>30</v>
      </c>
      <c r="E329" s="58"/>
      <c r="F329" s="59"/>
    </row>
    <row r="330" spans="1:6" x14ac:dyDescent="0.25">
      <c r="A330" s="52"/>
      <c r="B330" s="55"/>
      <c r="C330" s="55"/>
      <c r="D330" s="57" t="s">
        <v>31</v>
      </c>
      <c r="E330" s="58"/>
      <c r="F330" s="59"/>
    </row>
    <row r="331" spans="1:6" x14ac:dyDescent="0.25">
      <c r="A331" s="52"/>
      <c r="B331" s="55"/>
      <c r="C331" s="55"/>
      <c r="D331" s="8" t="s">
        <v>6</v>
      </c>
      <c r="E331" s="15" t="s">
        <v>2</v>
      </c>
      <c r="F331" s="16">
        <v>645000</v>
      </c>
    </row>
    <row r="332" spans="1:6" x14ac:dyDescent="0.25">
      <c r="A332" s="52"/>
      <c r="B332" s="55"/>
      <c r="C332" s="55"/>
      <c r="D332" s="8" t="s">
        <v>3</v>
      </c>
      <c r="E332" s="15" t="s">
        <v>5</v>
      </c>
      <c r="F332" s="16">
        <v>591340</v>
      </c>
    </row>
    <row r="333" spans="1:6" ht="15.75" x14ac:dyDescent="0.25">
      <c r="A333" s="52"/>
      <c r="B333" s="55"/>
      <c r="C333" s="55"/>
      <c r="D333" s="8" t="s">
        <v>42</v>
      </c>
      <c r="E333" s="15" t="s">
        <v>20</v>
      </c>
      <c r="F333" s="16">
        <v>116000</v>
      </c>
    </row>
    <row r="334" spans="1:6" x14ac:dyDescent="0.25">
      <c r="A334" s="52"/>
      <c r="B334" s="55"/>
      <c r="C334" s="55"/>
      <c r="D334" s="57" t="s">
        <v>32</v>
      </c>
      <c r="E334" s="58"/>
      <c r="F334" s="59"/>
    </row>
    <row r="335" spans="1:6" x14ac:dyDescent="0.25">
      <c r="A335" s="52"/>
      <c r="B335" s="55"/>
      <c r="C335" s="55"/>
      <c r="D335" s="45" t="s">
        <v>43</v>
      </c>
      <c r="E335" s="45"/>
      <c r="F335" s="45"/>
    </row>
    <row r="336" spans="1:6" x14ac:dyDescent="0.25">
      <c r="A336" s="52"/>
      <c r="B336" s="55"/>
      <c r="C336" s="55"/>
      <c r="D336" s="45" t="s">
        <v>44</v>
      </c>
      <c r="E336" s="45"/>
      <c r="F336" s="45"/>
    </row>
    <row r="337" spans="1:6" x14ac:dyDescent="0.25">
      <c r="A337" s="52"/>
      <c r="B337" s="55"/>
      <c r="C337" s="55"/>
      <c r="D337" s="17" t="s">
        <v>21</v>
      </c>
      <c r="E337" s="4" t="s">
        <v>22</v>
      </c>
      <c r="F337" s="23">
        <v>25000</v>
      </c>
    </row>
    <row r="338" spans="1:6" x14ac:dyDescent="0.25">
      <c r="A338" s="52"/>
      <c r="B338" s="55"/>
      <c r="C338" s="55"/>
      <c r="D338" s="17" t="s">
        <v>23</v>
      </c>
      <c r="E338" s="18" t="s">
        <v>16</v>
      </c>
      <c r="F338" s="10"/>
    </row>
    <row r="339" spans="1:6" ht="39" x14ac:dyDescent="0.25">
      <c r="A339" s="52"/>
      <c r="B339" s="55"/>
      <c r="C339" s="55"/>
      <c r="D339" s="38" t="s">
        <v>47</v>
      </c>
      <c r="E339" s="18"/>
      <c r="F339" s="10">
        <v>24000</v>
      </c>
    </row>
    <row r="340" spans="1:6" x14ac:dyDescent="0.25">
      <c r="A340" s="52"/>
      <c r="B340" s="55"/>
      <c r="C340" s="55"/>
      <c r="D340" s="17" t="s">
        <v>24</v>
      </c>
      <c r="E340" s="18"/>
      <c r="F340" s="10"/>
    </row>
    <row r="341" spans="1:6" x14ac:dyDescent="0.25">
      <c r="A341" s="52"/>
      <c r="B341" s="55"/>
      <c r="C341" s="55"/>
      <c r="D341" s="17" t="s">
        <v>45</v>
      </c>
      <c r="E341" s="18"/>
      <c r="F341" s="10"/>
    </row>
    <row r="342" spans="1:6" ht="26.25" x14ac:dyDescent="0.25">
      <c r="A342" s="52"/>
      <c r="B342" s="55"/>
      <c r="C342" s="55"/>
      <c r="D342" s="38" t="s">
        <v>46</v>
      </c>
      <c r="E342" s="18"/>
      <c r="F342" s="10"/>
    </row>
    <row r="343" spans="1:6" x14ac:dyDescent="0.25">
      <c r="A343" s="52"/>
      <c r="B343" s="55"/>
      <c r="C343" s="55"/>
      <c r="D343" s="57" t="s">
        <v>34</v>
      </c>
      <c r="E343" s="58"/>
      <c r="F343" s="59"/>
    </row>
    <row r="344" spans="1:6" ht="25.5" x14ac:dyDescent="0.25">
      <c r="A344" s="52"/>
      <c r="B344" s="55"/>
      <c r="C344" s="55"/>
      <c r="D344" s="17" t="s">
        <v>9</v>
      </c>
      <c r="E344" s="39" t="s">
        <v>18</v>
      </c>
      <c r="F344" s="23"/>
    </row>
    <row r="345" spans="1:6" x14ac:dyDescent="0.25">
      <c r="A345" s="52"/>
      <c r="B345" s="55"/>
      <c r="C345" s="55"/>
      <c r="D345" s="57" t="s">
        <v>33</v>
      </c>
      <c r="E345" s="58"/>
      <c r="F345" s="59"/>
    </row>
    <row r="346" spans="1:6" x14ac:dyDescent="0.25">
      <c r="A346" s="52"/>
      <c r="B346" s="55"/>
      <c r="C346" s="55"/>
      <c r="D346" s="20" t="s">
        <v>7</v>
      </c>
      <c r="E346" s="22" t="s">
        <v>25</v>
      </c>
      <c r="F346" s="23"/>
    </row>
    <row r="347" spans="1:6" x14ac:dyDescent="0.25">
      <c r="A347" s="52"/>
      <c r="B347" s="55"/>
      <c r="C347" s="55"/>
      <c r="D347" s="60" t="s">
        <v>35</v>
      </c>
      <c r="E347" s="60"/>
      <c r="F347" s="60"/>
    </row>
    <row r="348" spans="1:6" ht="26.25" x14ac:dyDescent="0.25">
      <c r="A348" s="52"/>
      <c r="B348" s="55"/>
      <c r="C348" s="55"/>
      <c r="D348" s="36" t="s">
        <v>41</v>
      </c>
      <c r="E348" s="18" t="s">
        <v>15</v>
      </c>
      <c r="F348" s="25">
        <v>47</v>
      </c>
    </row>
    <row r="349" spans="1:6" x14ac:dyDescent="0.25">
      <c r="A349" s="52"/>
      <c r="B349" s="55"/>
      <c r="C349" s="55"/>
      <c r="D349" s="6" t="s">
        <v>26</v>
      </c>
      <c r="E349" s="7" t="s">
        <v>8</v>
      </c>
      <c r="F349" s="34">
        <v>348133</v>
      </c>
    </row>
    <row r="350" spans="1:6" x14ac:dyDescent="0.25">
      <c r="A350" s="52"/>
      <c r="B350" s="55"/>
      <c r="C350" s="55"/>
      <c r="D350" s="5" t="s">
        <v>27</v>
      </c>
      <c r="E350" s="7" t="s">
        <v>8</v>
      </c>
      <c r="F350" s="34">
        <v>105135</v>
      </c>
    </row>
    <row r="351" spans="1:6" x14ac:dyDescent="0.25">
      <c r="A351" s="52"/>
      <c r="B351" s="55"/>
      <c r="C351" s="55"/>
      <c r="D351" s="60" t="s">
        <v>36</v>
      </c>
      <c r="E351" s="60"/>
      <c r="F351" s="60"/>
    </row>
    <row r="352" spans="1:6" x14ac:dyDescent="0.25">
      <c r="A352" s="52"/>
      <c r="B352" s="55"/>
      <c r="C352" s="55"/>
      <c r="D352" s="26" t="s">
        <v>19</v>
      </c>
      <c r="E352" s="27" t="s">
        <v>8</v>
      </c>
      <c r="F352" s="2"/>
    </row>
    <row r="353" spans="1:6" x14ac:dyDescent="0.25">
      <c r="A353" s="52"/>
      <c r="B353" s="55"/>
      <c r="C353" s="55"/>
      <c r="D353" s="26" t="s">
        <v>50</v>
      </c>
      <c r="E353" s="27"/>
      <c r="F353" s="2"/>
    </row>
    <row r="354" spans="1:6" x14ac:dyDescent="0.25">
      <c r="A354" s="52"/>
      <c r="B354" s="55"/>
      <c r="C354" s="55"/>
      <c r="D354" s="26" t="s">
        <v>52</v>
      </c>
      <c r="E354" s="27"/>
      <c r="F354" s="2"/>
    </row>
    <row r="355" spans="1:6" ht="39" x14ac:dyDescent="0.25">
      <c r="A355" s="52"/>
      <c r="B355" s="55"/>
      <c r="C355" s="55"/>
      <c r="D355" s="26" t="s">
        <v>48</v>
      </c>
      <c r="E355" s="27"/>
      <c r="F355" s="2"/>
    </row>
    <row r="356" spans="1:6" x14ac:dyDescent="0.25">
      <c r="A356" s="52"/>
      <c r="B356" s="55"/>
      <c r="C356" s="55"/>
      <c r="D356" s="26" t="s">
        <v>62</v>
      </c>
      <c r="E356" s="10" t="s">
        <v>8</v>
      </c>
      <c r="F356" s="2">
        <v>3100000</v>
      </c>
    </row>
    <row r="357" spans="1:6" ht="26.25" x14ac:dyDescent="0.25">
      <c r="A357" s="52"/>
      <c r="B357" s="55"/>
      <c r="C357" s="55"/>
      <c r="D357" s="26" t="s">
        <v>49</v>
      </c>
      <c r="E357" s="10" t="s">
        <v>8</v>
      </c>
      <c r="F357" s="2"/>
    </row>
    <row r="358" spans="1:6" x14ac:dyDescent="0.25">
      <c r="A358" s="53"/>
      <c r="B358" s="56"/>
      <c r="C358" s="56"/>
      <c r="D358" s="26" t="s">
        <v>24</v>
      </c>
      <c r="E358" s="10" t="s">
        <v>8</v>
      </c>
      <c r="F358" s="2"/>
    </row>
    <row r="359" spans="1:6" ht="35.25" customHeight="1" x14ac:dyDescent="0.25">
      <c r="A359" s="51" t="s">
        <v>39</v>
      </c>
      <c r="B359" s="54" t="s">
        <v>89</v>
      </c>
      <c r="C359" s="54" t="s">
        <v>55</v>
      </c>
      <c r="D359" s="57" t="s">
        <v>28</v>
      </c>
      <c r="E359" s="58"/>
      <c r="F359" s="59"/>
    </row>
    <row r="360" spans="1:6" x14ac:dyDescent="0.25">
      <c r="A360" s="52"/>
      <c r="B360" s="55"/>
      <c r="C360" s="55"/>
      <c r="D360" s="60" t="s">
        <v>29</v>
      </c>
      <c r="E360" s="60"/>
      <c r="F360" s="60"/>
    </row>
    <row r="361" spans="1:6" x14ac:dyDescent="0.25">
      <c r="A361" s="52"/>
      <c r="B361" s="55"/>
      <c r="C361" s="55"/>
      <c r="D361" s="14" t="s">
        <v>40</v>
      </c>
      <c r="E361" s="10" t="s">
        <v>15</v>
      </c>
      <c r="F361" s="10">
        <v>92.56</v>
      </c>
    </row>
    <row r="362" spans="1:6" x14ac:dyDescent="0.25">
      <c r="A362" s="52"/>
      <c r="B362" s="55"/>
      <c r="C362" s="55"/>
      <c r="D362" s="6" t="s">
        <v>26</v>
      </c>
      <c r="E362" s="7" t="s">
        <v>8</v>
      </c>
      <c r="F362" s="33">
        <f>607595-396826+0.68</f>
        <v>210769.68</v>
      </c>
    </row>
    <row r="363" spans="1:6" x14ac:dyDescent="0.25">
      <c r="A363" s="52"/>
      <c r="B363" s="55"/>
      <c r="C363" s="55"/>
      <c r="D363" s="5" t="s">
        <v>27</v>
      </c>
      <c r="E363" s="7" t="s">
        <v>8</v>
      </c>
      <c r="F363" s="34">
        <v>63652</v>
      </c>
    </row>
    <row r="364" spans="1:6" x14ac:dyDescent="0.25">
      <c r="A364" s="52"/>
      <c r="B364" s="55"/>
      <c r="C364" s="55"/>
      <c r="D364" s="57" t="s">
        <v>30</v>
      </c>
      <c r="E364" s="58"/>
      <c r="F364" s="59"/>
    </row>
    <row r="365" spans="1:6" x14ac:dyDescent="0.25">
      <c r="A365" s="52"/>
      <c r="B365" s="55"/>
      <c r="C365" s="55"/>
      <c r="D365" s="57" t="s">
        <v>31</v>
      </c>
      <c r="E365" s="58"/>
      <c r="F365" s="59"/>
    </row>
    <row r="366" spans="1:6" x14ac:dyDescent="0.25">
      <c r="A366" s="52"/>
      <c r="B366" s="55"/>
      <c r="C366" s="55"/>
      <c r="D366" s="8" t="s">
        <v>6</v>
      </c>
      <c r="E366" s="15" t="s">
        <v>2</v>
      </c>
      <c r="F366" s="16">
        <v>645000</v>
      </c>
    </row>
    <row r="367" spans="1:6" x14ac:dyDescent="0.25">
      <c r="A367" s="52"/>
      <c r="B367" s="55"/>
      <c r="C367" s="55"/>
      <c r="D367" s="8" t="s">
        <v>3</v>
      </c>
      <c r="E367" s="15" t="s">
        <v>5</v>
      </c>
      <c r="F367" s="16">
        <v>591340</v>
      </c>
    </row>
    <row r="368" spans="1:6" ht="15.75" x14ac:dyDescent="0.25">
      <c r="A368" s="52"/>
      <c r="B368" s="55"/>
      <c r="C368" s="55"/>
      <c r="D368" s="8" t="s">
        <v>42</v>
      </c>
      <c r="E368" s="15" t="s">
        <v>20</v>
      </c>
      <c r="F368" s="16">
        <v>116000</v>
      </c>
    </row>
    <row r="369" spans="1:6" x14ac:dyDescent="0.25">
      <c r="A369" s="52"/>
      <c r="B369" s="55"/>
      <c r="C369" s="55"/>
      <c r="D369" s="57" t="s">
        <v>32</v>
      </c>
      <c r="E369" s="58"/>
      <c r="F369" s="59"/>
    </row>
    <row r="370" spans="1:6" x14ac:dyDescent="0.25">
      <c r="A370" s="52"/>
      <c r="B370" s="55"/>
      <c r="C370" s="55"/>
      <c r="D370" s="45" t="s">
        <v>43</v>
      </c>
      <c r="E370" s="45"/>
      <c r="F370" s="45"/>
    </row>
    <row r="371" spans="1:6" x14ac:dyDescent="0.25">
      <c r="A371" s="52"/>
      <c r="B371" s="55"/>
      <c r="C371" s="55"/>
      <c r="D371" s="45" t="s">
        <v>44</v>
      </c>
      <c r="E371" s="45"/>
      <c r="F371" s="45"/>
    </row>
    <row r="372" spans="1:6" x14ac:dyDescent="0.25">
      <c r="A372" s="52"/>
      <c r="B372" s="55"/>
      <c r="C372" s="55"/>
      <c r="D372" s="17" t="s">
        <v>21</v>
      </c>
      <c r="E372" s="4" t="s">
        <v>22</v>
      </c>
      <c r="F372" s="23">
        <v>25000</v>
      </c>
    </row>
    <row r="373" spans="1:6" x14ac:dyDescent="0.25">
      <c r="A373" s="52"/>
      <c r="B373" s="55"/>
      <c r="C373" s="55"/>
      <c r="D373" s="17" t="s">
        <v>23</v>
      </c>
      <c r="E373" s="18" t="s">
        <v>16</v>
      </c>
      <c r="F373" s="10"/>
    </row>
    <row r="374" spans="1:6" ht="39" x14ac:dyDescent="0.25">
      <c r="A374" s="52"/>
      <c r="B374" s="55"/>
      <c r="C374" s="55"/>
      <c r="D374" s="38" t="s">
        <v>47</v>
      </c>
      <c r="E374" s="18"/>
      <c r="F374" s="10">
        <v>24000</v>
      </c>
    </row>
    <row r="375" spans="1:6" x14ac:dyDescent="0.25">
      <c r="A375" s="52"/>
      <c r="B375" s="55"/>
      <c r="C375" s="55"/>
      <c r="D375" s="17" t="s">
        <v>24</v>
      </c>
      <c r="E375" s="18"/>
      <c r="F375" s="10"/>
    </row>
    <row r="376" spans="1:6" x14ac:dyDescent="0.25">
      <c r="A376" s="52"/>
      <c r="B376" s="55"/>
      <c r="C376" s="55"/>
      <c r="D376" s="17" t="s">
        <v>45</v>
      </c>
      <c r="E376" s="18"/>
      <c r="F376" s="10"/>
    </row>
    <row r="377" spans="1:6" ht="26.25" x14ac:dyDescent="0.25">
      <c r="A377" s="52"/>
      <c r="B377" s="55"/>
      <c r="C377" s="55"/>
      <c r="D377" s="38" t="s">
        <v>46</v>
      </c>
      <c r="E377" s="18"/>
      <c r="F377" s="10"/>
    </row>
    <row r="378" spans="1:6" x14ac:dyDescent="0.25">
      <c r="A378" s="52"/>
      <c r="B378" s="55"/>
      <c r="C378" s="55"/>
      <c r="D378" s="57" t="s">
        <v>34</v>
      </c>
      <c r="E378" s="58"/>
      <c r="F378" s="59"/>
    </row>
    <row r="379" spans="1:6" ht="25.5" x14ac:dyDescent="0.25">
      <c r="A379" s="52"/>
      <c r="B379" s="55"/>
      <c r="C379" s="55"/>
      <c r="D379" s="17" t="s">
        <v>9</v>
      </c>
      <c r="E379" s="39" t="s">
        <v>18</v>
      </c>
      <c r="F379" s="23"/>
    </row>
    <row r="380" spans="1:6" x14ac:dyDescent="0.25">
      <c r="A380" s="52"/>
      <c r="B380" s="55"/>
      <c r="C380" s="55"/>
      <c r="D380" s="57" t="s">
        <v>33</v>
      </c>
      <c r="E380" s="58"/>
      <c r="F380" s="59"/>
    </row>
    <row r="381" spans="1:6" x14ac:dyDescent="0.25">
      <c r="A381" s="52"/>
      <c r="B381" s="55"/>
      <c r="C381" s="55"/>
      <c r="D381" s="20" t="s">
        <v>7</v>
      </c>
      <c r="E381" s="22" t="s">
        <v>25</v>
      </c>
      <c r="F381" s="23"/>
    </row>
    <row r="382" spans="1:6" x14ac:dyDescent="0.25">
      <c r="A382" s="52"/>
      <c r="B382" s="55"/>
      <c r="C382" s="55"/>
      <c r="D382" s="60" t="s">
        <v>35</v>
      </c>
      <c r="E382" s="60"/>
      <c r="F382" s="60"/>
    </row>
    <row r="383" spans="1:6" ht="26.25" x14ac:dyDescent="0.25">
      <c r="A383" s="52"/>
      <c r="B383" s="55"/>
      <c r="C383" s="55"/>
      <c r="D383" s="36" t="s">
        <v>41</v>
      </c>
      <c r="E383" s="18" t="s">
        <v>15</v>
      </c>
      <c r="F383" s="25">
        <v>47</v>
      </c>
    </row>
    <row r="384" spans="1:6" x14ac:dyDescent="0.25">
      <c r="A384" s="52"/>
      <c r="B384" s="55"/>
      <c r="C384" s="55"/>
      <c r="D384" s="6" t="s">
        <v>26</v>
      </c>
      <c r="E384" s="7" t="s">
        <v>8</v>
      </c>
      <c r="F384" s="34">
        <v>348133</v>
      </c>
    </row>
    <row r="385" spans="1:6" x14ac:dyDescent="0.25">
      <c r="A385" s="52"/>
      <c r="B385" s="55"/>
      <c r="C385" s="55"/>
      <c r="D385" s="5" t="s">
        <v>27</v>
      </c>
      <c r="E385" s="7" t="s">
        <v>8</v>
      </c>
      <c r="F385" s="34">
        <v>105135</v>
      </c>
    </row>
    <row r="386" spans="1:6" x14ac:dyDescent="0.25">
      <c r="A386" s="52"/>
      <c r="B386" s="55"/>
      <c r="C386" s="55"/>
      <c r="D386" s="60" t="s">
        <v>36</v>
      </c>
      <c r="E386" s="60"/>
      <c r="F386" s="60"/>
    </row>
    <row r="387" spans="1:6" x14ac:dyDescent="0.25">
      <c r="A387" s="52"/>
      <c r="B387" s="55"/>
      <c r="C387" s="55"/>
      <c r="D387" s="26" t="s">
        <v>19</v>
      </c>
      <c r="E387" s="27" t="s">
        <v>8</v>
      </c>
      <c r="F387" s="2"/>
    </row>
    <row r="388" spans="1:6" x14ac:dyDescent="0.25">
      <c r="A388" s="52"/>
      <c r="B388" s="55"/>
      <c r="C388" s="55"/>
      <c r="D388" s="26" t="s">
        <v>50</v>
      </c>
      <c r="E388" s="27"/>
      <c r="F388" s="2"/>
    </row>
    <row r="389" spans="1:6" x14ac:dyDescent="0.25">
      <c r="A389" s="52"/>
      <c r="B389" s="55"/>
      <c r="C389" s="55"/>
      <c r="D389" s="26" t="s">
        <v>52</v>
      </c>
      <c r="E389" s="27"/>
      <c r="F389" s="2"/>
    </row>
    <row r="390" spans="1:6" ht="39" x14ac:dyDescent="0.25">
      <c r="A390" s="52"/>
      <c r="B390" s="55"/>
      <c r="C390" s="55"/>
      <c r="D390" s="26" t="s">
        <v>48</v>
      </c>
      <c r="E390" s="27"/>
      <c r="F390" s="2"/>
    </row>
    <row r="391" spans="1:6" x14ac:dyDescent="0.25">
      <c r="A391" s="52"/>
      <c r="B391" s="55"/>
      <c r="C391" s="55"/>
      <c r="D391" s="26" t="s">
        <v>62</v>
      </c>
      <c r="E391" s="10" t="s">
        <v>8</v>
      </c>
      <c r="F391" s="2">
        <v>3100000</v>
      </c>
    </row>
    <row r="392" spans="1:6" ht="26.25" x14ac:dyDescent="0.25">
      <c r="A392" s="52"/>
      <c r="B392" s="55"/>
      <c r="C392" s="55"/>
      <c r="D392" s="26" t="s">
        <v>49</v>
      </c>
      <c r="E392" s="10" t="s">
        <v>8</v>
      </c>
      <c r="F392" s="2"/>
    </row>
    <row r="393" spans="1:6" x14ac:dyDescent="0.25">
      <c r="A393" s="53"/>
      <c r="B393" s="56"/>
      <c r="C393" s="56"/>
      <c r="D393" s="26" t="s">
        <v>24</v>
      </c>
      <c r="E393" s="10" t="s">
        <v>8</v>
      </c>
      <c r="F393" s="2"/>
    </row>
    <row r="394" spans="1:6" ht="35.25" customHeight="1" x14ac:dyDescent="0.25">
      <c r="A394" s="51" t="s">
        <v>39</v>
      </c>
      <c r="B394" s="54" t="s">
        <v>90</v>
      </c>
      <c r="C394" s="54" t="s">
        <v>55</v>
      </c>
      <c r="D394" s="57" t="s">
        <v>28</v>
      </c>
      <c r="E394" s="58"/>
      <c r="F394" s="59"/>
    </row>
    <row r="395" spans="1:6" x14ac:dyDescent="0.25">
      <c r="A395" s="52"/>
      <c r="B395" s="55"/>
      <c r="C395" s="55"/>
      <c r="D395" s="60" t="s">
        <v>29</v>
      </c>
      <c r="E395" s="60"/>
      <c r="F395" s="60"/>
    </row>
    <row r="396" spans="1:6" x14ac:dyDescent="0.25">
      <c r="A396" s="52"/>
      <c r="B396" s="55"/>
      <c r="C396" s="55"/>
      <c r="D396" s="14" t="s">
        <v>40</v>
      </c>
      <c r="E396" s="10" t="s">
        <v>15</v>
      </c>
      <c r="F396" s="10">
        <v>92.56</v>
      </c>
    </row>
    <row r="397" spans="1:6" x14ac:dyDescent="0.25">
      <c r="A397" s="52"/>
      <c r="B397" s="55"/>
      <c r="C397" s="55"/>
      <c r="D397" s="6" t="s">
        <v>26</v>
      </c>
      <c r="E397" s="7" t="s">
        <v>8</v>
      </c>
      <c r="F397" s="33">
        <f>607595-396826+0.68</f>
        <v>210769.68</v>
      </c>
    </row>
    <row r="398" spans="1:6" x14ac:dyDescent="0.25">
      <c r="A398" s="52"/>
      <c r="B398" s="55"/>
      <c r="C398" s="55"/>
      <c r="D398" s="5" t="s">
        <v>27</v>
      </c>
      <c r="E398" s="7" t="s">
        <v>8</v>
      </c>
      <c r="F398" s="34">
        <v>63652</v>
      </c>
    </row>
    <row r="399" spans="1:6" x14ac:dyDescent="0.25">
      <c r="A399" s="52"/>
      <c r="B399" s="55"/>
      <c r="C399" s="55"/>
      <c r="D399" s="57" t="s">
        <v>30</v>
      </c>
      <c r="E399" s="58"/>
      <c r="F399" s="59"/>
    </row>
    <row r="400" spans="1:6" x14ac:dyDescent="0.25">
      <c r="A400" s="52"/>
      <c r="B400" s="55"/>
      <c r="C400" s="55"/>
      <c r="D400" s="57" t="s">
        <v>31</v>
      </c>
      <c r="E400" s="58"/>
      <c r="F400" s="59"/>
    </row>
    <row r="401" spans="1:6" x14ac:dyDescent="0.25">
      <c r="A401" s="52"/>
      <c r="B401" s="55"/>
      <c r="C401" s="55"/>
      <c r="D401" s="8" t="s">
        <v>6</v>
      </c>
      <c r="E401" s="15" t="s">
        <v>2</v>
      </c>
      <c r="F401" s="16">
        <v>645000</v>
      </c>
    </row>
    <row r="402" spans="1:6" x14ac:dyDescent="0.25">
      <c r="A402" s="52"/>
      <c r="B402" s="55"/>
      <c r="C402" s="55"/>
      <c r="D402" s="8" t="s">
        <v>3</v>
      </c>
      <c r="E402" s="15" t="s">
        <v>5</v>
      </c>
      <c r="F402" s="16">
        <v>591340</v>
      </c>
    </row>
    <row r="403" spans="1:6" ht="15.75" x14ac:dyDescent="0.25">
      <c r="A403" s="52"/>
      <c r="B403" s="55"/>
      <c r="C403" s="55"/>
      <c r="D403" s="8" t="s">
        <v>42</v>
      </c>
      <c r="E403" s="15" t="s">
        <v>20</v>
      </c>
      <c r="F403" s="16">
        <v>116000</v>
      </c>
    </row>
    <row r="404" spans="1:6" x14ac:dyDescent="0.25">
      <c r="A404" s="52"/>
      <c r="B404" s="55"/>
      <c r="C404" s="55"/>
      <c r="D404" s="57" t="s">
        <v>32</v>
      </c>
      <c r="E404" s="58"/>
      <c r="F404" s="59"/>
    </row>
    <row r="405" spans="1:6" x14ac:dyDescent="0.25">
      <c r="A405" s="52"/>
      <c r="B405" s="55"/>
      <c r="C405" s="55"/>
      <c r="D405" s="45" t="s">
        <v>43</v>
      </c>
      <c r="E405" s="45"/>
      <c r="F405" s="45"/>
    </row>
    <row r="406" spans="1:6" x14ac:dyDescent="0.25">
      <c r="A406" s="52"/>
      <c r="B406" s="55"/>
      <c r="C406" s="55"/>
      <c r="D406" s="45" t="s">
        <v>44</v>
      </c>
      <c r="E406" s="45"/>
      <c r="F406" s="45"/>
    </row>
    <row r="407" spans="1:6" x14ac:dyDescent="0.25">
      <c r="A407" s="52"/>
      <c r="B407" s="55"/>
      <c r="C407" s="55"/>
      <c r="D407" s="17" t="s">
        <v>21</v>
      </c>
      <c r="E407" s="4" t="s">
        <v>22</v>
      </c>
      <c r="F407" s="23">
        <v>25000</v>
      </c>
    </row>
    <row r="408" spans="1:6" x14ac:dyDescent="0.25">
      <c r="A408" s="52"/>
      <c r="B408" s="55"/>
      <c r="C408" s="55"/>
      <c r="D408" s="17" t="s">
        <v>23</v>
      </c>
      <c r="E408" s="18" t="s">
        <v>16</v>
      </c>
      <c r="F408" s="10"/>
    </row>
    <row r="409" spans="1:6" ht="39" x14ac:dyDescent="0.25">
      <c r="A409" s="52"/>
      <c r="B409" s="55"/>
      <c r="C409" s="55"/>
      <c r="D409" s="38" t="s">
        <v>47</v>
      </c>
      <c r="E409" s="18"/>
      <c r="F409" s="10">
        <v>24000</v>
      </c>
    </row>
    <row r="410" spans="1:6" x14ac:dyDescent="0.25">
      <c r="A410" s="52"/>
      <c r="B410" s="55"/>
      <c r="C410" s="55"/>
      <c r="D410" s="17" t="s">
        <v>24</v>
      </c>
      <c r="E410" s="18"/>
      <c r="F410" s="10"/>
    </row>
    <row r="411" spans="1:6" x14ac:dyDescent="0.25">
      <c r="A411" s="52"/>
      <c r="B411" s="55"/>
      <c r="C411" s="55"/>
      <c r="D411" s="17" t="s">
        <v>45</v>
      </c>
      <c r="E411" s="18"/>
      <c r="F411" s="10"/>
    </row>
    <row r="412" spans="1:6" ht="26.25" x14ac:dyDescent="0.25">
      <c r="A412" s="52"/>
      <c r="B412" s="55"/>
      <c r="C412" s="55"/>
      <c r="D412" s="38" t="s">
        <v>46</v>
      </c>
      <c r="E412" s="18"/>
      <c r="F412" s="10"/>
    </row>
    <row r="413" spans="1:6" x14ac:dyDescent="0.25">
      <c r="A413" s="52"/>
      <c r="B413" s="55"/>
      <c r="C413" s="55"/>
      <c r="D413" s="57" t="s">
        <v>34</v>
      </c>
      <c r="E413" s="58"/>
      <c r="F413" s="59"/>
    </row>
    <row r="414" spans="1:6" ht="25.5" x14ac:dyDescent="0.25">
      <c r="A414" s="52"/>
      <c r="B414" s="55"/>
      <c r="C414" s="55"/>
      <c r="D414" s="17" t="s">
        <v>9</v>
      </c>
      <c r="E414" s="39" t="s">
        <v>18</v>
      </c>
      <c r="F414" s="23"/>
    </row>
    <row r="415" spans="1:6" x14ac:dyDescent="0.25">
      <c r="A415" s="52"/>
      <c r="B415" s="55"/>
      <c r="C415" s="55"/>
      <c r="D415" s="57" t="s">
        <v>33</v>
      </c>
      <c r="E415" s="58"/>
      <c r="F415" s="59"/>
    </row>
    <row r="416" spans="1:6" x14ac:dyDescent="0.25">
      <c r="A416" s="52"/>
      <c r="B416" s="55"/>
      <c r="C416" s="55"/>
      <c r="D416" s="20" t="s">
        <v>7</v>
      </c>
      <c r="E416" s="22" t="s">
        <v>25</v>
      </c>
      <c r="F416" s="23"/>
    </row>
    <row r="417" spans="1:6" x14ac:dyDescent="0.25">
      <c r="A417" s="52"/>
      <c r="B417" s="55"/>
      <c r="C417" s="55"/>
      <c r="D417" s="60" t="s">
        <v>35</v>
      </c>
      <c r="E417" s="60"/>
      <c r="F417" s="60"/>
    </row>
    <row r="418" spans="1:6" ht="26.25" x14ac:dyDescent="0.25">
      <c r="A418" s="52"/>
      <c r="B418" s="55"/>
      <c r="C418" s="55"/>
      <c r="D418" s="36" t="s">
        <v>41</v>
      </c>
      <c r="E418" s="18" t="s">
        <v>15</v>
      </c>
      <c r="F418" s="25">
        <v>47</v>
      </c>
    </row>
    <row r="419" spans="1:6" x14ac:dyDescent="0.25">
      <c r="A419" s="52"/>
      <c r="B419" s="55"/>
      <c r="C419" s="55"/>
      <c r="D419" s="6" t="s">
        <v>26</v>
      </c>
      <c r="E419" s="7" t="s">
        <v>8</v>
      </c>
      <c r="F419" s="34">
        <v>348133</v>
      </c>
    </row>
    <row r="420" spans="1:6" x14ac:dyDescent="0.25">
      <c r="A420" s="52"/>
      <c r="B420" s="55"/>
      <c r="C420" s="55"/>
      <c r="D420" s="5" t="s">
        <v>27</v>
      </c>
      <c r="E420" s="7" t="s">
        <v>8</v>
      </c>
      <c r="F420" s="34">
        <v>105135</v>
      </c>
    </row>
    <row r="421" spans="1:6" x14ac:dyDescent="0.25">
      <c r="A421" s="52"/>
      <c r="B421" s="55"/>
      <c r="C421" s="55"/>
      <c r="D421" s="60" t="s">
        <v>36</v>
      </c>
      <c r="E421" s="60"/>
      <c r="F421" s="60"/>
    </row>
    <row r="422" spans="1:6" x14ac:dyDescent="0.25">
      <c r="A422" s="52"/>
      <c r="B422" s="55"/>
      <c r="C422" s="55"/>
      <c r="D422" s="26" t="s">
        <v>19</v>
      </c>
      <c r="E422" s="27" t="s">
        <v>8</v>
      </c>
      <c r="F422" s="2"/>
    </row>
    <row r="423" spans="1:6" x14ac:dyDescent="0.25">
      <c r="A423" s="52"/>
      <c r="B423" s="55"/>
      <c r="C423" s="55"/>
      <c r="D423" s="26" t="s">
        <v>50</v>
      </c>
      <c r="E423" s="27"/>
      <c r="F423" s="2"/>
    </row>
    <row r="424" spans="1:6" x14ac:dyDescent="0.25">
      <c r="A424" s="52"/>
      <c r="B424" s="55"/>
      <c r="C424" s="55"/>
      <c r="D424" s="26" t="s">
        <v>52</v>
      </c>
      <c r="E424" s="27"/>
      <c r="F424" s="2"/>
    </row>
    <row r="425" spans="1:6" ht="39" x14ac:dyDescent="0.25">
      <c r="A425" s="52"/>
      <c r="B425" s="55"/>
      <c r="C425" s="55"/>
      <c r="D425" s="26" t="s">
        <v>48</v>
      </c>
      <c r="E425" s="27"/>
      <c r="F425" s="2"/>
    </row>
    <row r="426" spans="1:6" x14ac:dyDescent="0.25">
      <c r="A426" s="52"/>
      <c r="B426" s="55"/>
      <c r="C426" s="55"/>
      <c r="D426" s="26" t="s">
        <v>62</v>
      </c>
      <c r="E426" s="10" t="s">
        <v>8</v>
      </c>
      <c r="F426" s="2">
        <v>3100000</v>
      </c>
    </row>
    <row r="427" spans="1:6" ht="26.25" x14ac:dyDescent="0.25">
      <c r="A427" s="52"/>
      <c r="B427" s="55"/>
      <c r="C427" s="55"/>
      <c r="D427" s="26" t="s">
        <v>49</v>
      </c>
      <c r="E427" s="10" t="s">
        <v>8</v>
      </c>
      <c r="F427" s="2"/>
    </row>
    <row r="428" spans="1:6" x14ac:dyDescent="0.25">
      <c r="A428" s="53"/>
      <c r="B428" s="56"/>
      <c r="C428" s="56"/>
      <c r="D428" s="26" t="s">
        <v>24</v>
      </c>
      <c r="E428" s="10" t="s">
        <v>8</v>
      </c>
      <c r="F428" s="2"/>
    </row>
  </sheetData>
  <mergeCells count="147">
    <mergeCell ref="D238:F238"/>
    <mergeCell ref="D240:F240"/>
    <mergeCell ref="D242:F242"/>
    <mergeCell ref="D246:F246"/>
    <mergeCell ref="D275:F275"/>
    <mergeCell ref="D277:F277"/>
    <mergeCell ref="D281:F281"/>
    <mergeCell ref="D176:F176"/>
    <mergeCell ref="A254:A288"/>
    <mergeCell ref="B254:B288"/>
    <mergeCell ref="C254:C288"/>
    <mergeCell ref="D254:F254"/>
    <mergeCell ref="D255:F255"/>
    <mergeCell ref="D259:F259"/>
    <mergeCell ref="D260:F260"/>
    <mergeCell ref="D264:F264"/>
    <mergeCell ref="D273:F273"/>
    <mergeCell ref="A149:A183"/>
    <mergeCell ref="B149:B183"/>
    <mergeCell ref="C149:C183"/>
    <mergeCell ref="A219:A253"/>
    <mergeCell ref="B219:B253"/>
    <mergeCell ref="C219:C253"/>
    <mergeCell ref="D219:F219"/>
    <mergeCell ref="D220:F220"/>
    <mergeCell ref="D224:F224"/>
    <mergeCell ref="D225:F225"/>
    <mergeCell ref="D229:F229"/>
    <mergeCell ref="D172:F172"/>
    <mergeCell ref="D19:F19"/>
    <mergeCell ref="D28:F28"/>
    <mergeCell ref="D30:F30"/>
    <mergeCell ref="D32:F32"/>
    <mergeCell ref="D36:F36"/>
    <mergeCell ref="D149:F149"/>
    <mergeCell ref="D150:F150"/>
    <mergeCell ref="D154:F154"/>
    <mergeCell ref="D155:F155"/>
    <mergeCell ref="D159:F159"/>
    <mergeCell ref="D168:F168"/>
    <mergeCell ref="D170:F170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A44:A78"/>
    <mergeCell ref="B44:B78"/>
    <mergeCell ref="C44:C78"/>
    <mergeCell ref="D44:F44"/>
    <mergeCell ref="D45:F45"/>
    <mergeCell ref="D49:F49"/>
    <mergeCell ref="D50:F50"/>
    <mergeCell ref="D54:F54"/>
    <mergeCell ref="D63:F63"/>
    <mergeCell ref="D65:F65"/>
    <mergeCell ref="D67:F67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D100:F100"/>
    <mergeCell ref="D102:F102"/>
    <mergeCell ref="D106:F106"/>
    <mergeCell ref="A114:A148"/>
    <mergeCell ref="B114:B148"/>
    <mergeCell ref="C114:C148"/>
    <mergeCell ref="D114:F114"/>
    <mergeCell ref="D115:F115"/>
    <mergeCell ref="D119:F119"/>
    <mergeCell ref="D120:F120"/>
    <mergeCell ref="D124:F124"/>
    <mergeCell ref="D133:F133"/>
    <mergeCell ref="D135:F135"/>
    <mergeCell ref="D137:F137"/>
    <mergeCell ref="D141:F141"/>
    <mergeCell ref="A184:A218"/>
    <mergeCell ref="B184:B218"/>
    <mergeCell ref="C184:C218"/>
    <mergeCell ref="D184:F184"/>
    <mergeCell ref="D185:F185"/>
    <mergeCell ref="D189:F189"/>
    <mergeCell ref="D190:F190"/>
    <mergeCell ref="D194:F194"/>
    <mergeCell ref="D203:F203"/>
    <mergeCell ref="D205:F205"/>
    <mergeCell ref="D207:F207"/>
    <mergeCell ref="D211:F211"/>
    <mergeCell ref="A289:A323"/>
    <mergeCell ref="B289:B323"/>
    <mergeCell ref="C289:C323"/>
    <mergeCell ref="D289:F289"/>
    <mergeCell ref="D290:F290"/>
    <mergeCell ref="D294:F294"/>
    <mergeCell ref="D295:F295"/>
    <mergeCell ref="D299:F299"/>
    <mergeCell ref="D308:F308"/>
    <mergeCell ref="D310:F310"/>
    <mergeCell ref="D312:F312"/>
    <mergeCell ref="D316:F316"/>
    <mergeCell ref="A324:A358"/>
    <mergeCell ref="B324:B358"/>
    <mergeCell ref="C324:C358"/>
    <mergeCell ref="D324:F324"/>
    <mergeCell ref="D325:F325"/>
    <mergeCell ref="D329:F329"/>
    <mergeCell ref="D330:F330"/>
    <mergeCell ref="D334:F334"/>
    <mergeCell ref="D343:F343"/>
    <mergeCell ref="D345:F345"/>
    <mergeCell ref="D347:F347"/>
    <mergeCell ref="D351:F351"/>
    <mergeCell ref="A359:A393"/>
    <mergeCell ref="B359:B393"/>
    <mergeCell ref="C359:C393"/>
    <mergeCell ref="D359:F359"/>
    <mergeCell ref="D360:F360"/>
    <mergeCell ref="D364:F364"/>
    <mergeCell ref="D365:F365"/>
    <mergeCell ref="D369:F369"/>
    <mergeCell ref="D378:F378"/>
    <mergeCell ref="D380:F380"/>
    <mergeCell ref="D382:F382"/>
    <mergeCell ref="D386:F386"/>
    <mergeCell ref="A394:A428"/>
    <mergeCell ref="B394:B428"/>
    <mergeCell ref="C394:C428"/>
    <mergeCell ref="D394:F394"/>
    <mergeCell ref="D395:F395"/>
    <mergeCell ref="D399:F399"/>
    <mergeCell ref="D400:F400"/>
    <mergeCell ref="D404:F404"/>
    <mergeCell ref="D413:F413"/>
    <mergeCell ref="D415:F415"/>
    <mergeCell ref="D417:F417"/>
    <mergeCell ref="D421:F421"/>
  </mergeCells>
  <pageMargins left="0.14000000000000001" right="0.15748031496062992" top="0.33" bottom="0.35433070866141736" header="0.31496062992125984" footer="0.31496062992125984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6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1.42578125" style="1" bestFit="1" customWidth="1"/>
    <col min="10" max="10" width="10" style="1" bestFit="1" customWidth="1"/>
    <col min="11" max="11" width="5.5703125" style="1" customWidth="1"/>
    <col min="12" max="12" width="8.7109375" style="1" customWidth="1"/>
    <col min="13" max="13" width="9.140625" style="1"/>
    <col min="14" max="14" width="11.42578125" style="1" bestFit="1" customWidth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74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  <c r="H10" s="31">
        <f>F12+F13+F47+F48+F82+F83+F152+F153+F187+F188</f>
        <v>32103937</v>
      </c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9594324-2804274</f>
        <v>6790050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2897485-846890</f>
        <v>2050595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500000+470275</f>
        <v>970275</v>
      </c>
      <c r="G16" s="1"/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1000000+1124668+98051</f>
        <v>2222719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f>100000+55017</f>
        <v>155017</v>
      </c>
      <c r="G18" s="1"/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21375</v>
      </c>
      <c r="G20" s="1"/>
    </row>
    <row r="21" spans="1:8" x14ac:dyDescent="0.25">
      <c r="A21" s="67"/>
      <c r="B21" s="70"/>
      <c r="C21" s="70"/>
      <c r="D21" s="41" t="s">
        <v>44</v>
      </c>
      <c r="E21" s="41"/>
      <c r="F21" s="41">
        <v>24360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v>35000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24920</v>
      </c>
      <c r="G23" s="1"/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167000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46000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6</v>
      </c>
      <c r="G29" s="1"/>
      <c r="H29" s="31">
        <f>F12+F13+F16+F17+F18+F20+F21+F22+F23+F24+F25+F26+F27+F29+F31+F34+F35+F37+F38+F39+F40+F41+F42+F43</f>
        <v>16186713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1533543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463130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v>250000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350000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245000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200000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350000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25000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220000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16755873-4663951</f>
        <v>12091922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5060274-1408513</f>
        <v>3651761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v>822982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700000+1968168+98051</f>
        <v>2766219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f>80000+43610</f>
        <v>123610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37407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42630</v>
      </c>
      <c r="G56" s="1"/>
      <c r="H56" s="31">
        <f>F47+F48+F51+F52+F53+F55+F56+F57+F58+F59+F60+F61+F62+F64+F66+F69+F70+F72+F74+F75+F76+F77+F78</f>
        <v>24537325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v>250000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43610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24000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87000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56000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2683698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810477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v>350000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>
        <v>280000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80000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110000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250000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100000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120000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4231232-1387377</f>
        <v>2843855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1277832-418988</f>
        <v>858844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600000+201547</f>
        <v>801547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1000000+482000+98051</f>
        <v>1580051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f>130000+23578</f>
        <v>153578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9160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10440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10680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27000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86000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657232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198484</v>
      </c>
      <c r="G105" s="1"/>
      <c r="H105" s="31">
        <f>F82+F83+F86+F87+F88+F90+F91+F92+F93+F94+F95+F96+F97+F99+F101+F104+F105+F107+F108+F109+F110+F111+F112+F113</f>
        <v>8979755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400000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>
        <v>350000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120000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150000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550000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170000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8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258297+209617+200943</f>
        <v>668857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310371+805787+791267</f>
        <v>1907425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x14ac:dyDescent="0.25">
      <c r="A123" s="67"/>
      <c r="B123" s="76"/>
      <c r="C123" s="73"/>
      <c r="D123" s="8" t="s">
        <v>42</v>
      </c>
      <c r="E123" s="15">
        <v>1596</v>
      </c>
      <c r="F123" s="16">
        <f>94148+104808+100471</f>
        <v>299427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1" t="s">
        <v>43</v>
      </c>
      <c r="E125" s="41"/>
      <c r="F125" s="4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1" t="s">
        <v>44</v>
      </c>
      <c r="E126" s="41"/>
      <c r="F126" s="4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80000+80000+80000</f>
        <v>240000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3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31">
        <f>F121+F122+F123+F127+F139+F140+F146</f>
        <v>5743796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84566+98020+9609</f>
        <v>192195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2904+29602+25539</f>
        <v>58045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1046253+1212701+118893</f>
        <v>2377847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2015737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608752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2981052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273847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82702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915838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276583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1192421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>
        <f>H197+H159+H136+H105+H56+H29</f>
        <v>53877266</v>
      </c>
    </row>
    <row r="224" spans="1:23" x14ac:dyDescent="0.25">
      <c r="H224" s="31" t="e">
        <f>H29+H56+H105+H131+#REF!+#REF!+H159+H197</f>
        <v>#REF!</v>
      </c>
    </row>
    <row r="226" spans="6:6" x14ac:dyDescent="0.25">
      <c r="F226" s="43">
        <f>H197+H159+H134+H105+H56+H29</f>
        <v>59621062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24:F124"/>
    <mergeCell ref="D133:F133"/>
    <mergeCell ref="D135:F135"/>
    <mergeCell ref="D137:F137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114:F114"/>
    <mergeCell ref="D115:F115"/>
    <mergeCell ref="D119:F119"/>
    <mergeCell ref="D120:F120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</mergeCells>
  <pageMargins left="0.14000000000000001" right="0.15748031496062992" top="0.33" bottom="0.35433070866141736" header="0.31496062992125984" footer="0.31496062992125984"/>
  <pageSetup paperSize="9" scale="4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5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1.42578125" style="1" bestFit="1" customWidth="1"/>
    <col min="10" max="10" width="10" style="1" bestFit="1" customWidth="1"/>
    <col min="11" max="11" width="5.5703125" style="1" customWidth="1"/>
    <col min="12" max="12" width="8.7109375" style="1" customWidth="1"/>
    <col min="13" max="13" width="11.42578125" style="1" bestFit="1" customWidth="1"/>
    <col min="14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73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3196626-1472243</f>
        <v>1724383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965381-444617</f>
        <v>520764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v>241937</v>
      </c>
      <c r="G16" s="1"/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600000+447762</f>
        <v>1047762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v>85980</v>
      </c>
      <c r="G18" s="1"/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8120</v>
      </c>
      <c r="G20" s="1"/>
    </row>
    <row r="21" spans="1:8" x14ac:dyDescent="0.25">
      <c r="A21" s="67"/>
      <c r="B21" s="70"/>
      <c r="C21" s="70"/>
      <c r="D21" s="41" t="s">
        <v>44</v>
      </c>
      <c r="E21" s="41"/>
      <c r="F21" s="41">
        <v>8120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v>27000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11760</v>
      </c>
      <c r="G23" s="1"/>
      <c r="H23" s="31">
        <f>F12+F13+F47+F48+F82+F83++F152+F153+F187+F188</f>
        <v>9154759</v>
      </c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24000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162000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81000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6</v>
      </c>
      <c r="G29" s="1"/>
      <c r="H29" s="31">
        <f>F12+F13+F16+F17+F18+F20+F21+F22+F23+F24+F25+F26+F27+F29+F31+F34+F35+F37+F38+F39+F40+F41+F42+F43</f>
        <v>5954888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666138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201174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v>225000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396861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120000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125000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210000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26880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5946624-2264989</f>
        <v>3681635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1795880-684026</f>
        <v>1111854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v>618533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850000+783583</f>
        <v>1633583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v>90560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14210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14210</v>
      </c>
      <c r="G56" s="1"/>
      <c r="H56" s="31">
        <f>F47+F48+F51+F52+F53+F55+F56+F57+F58+F59+F60+F61+F62+F64+F66+F69+F70+F72+F74+F75+F76+F77+F78</f>
        <v>9956390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v>220000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55000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24000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56000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32000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7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1165742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352054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v>260000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>
        <v>250000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150000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110000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230000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86000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1451056-868246</f>
        <v>582810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438218-262210</f>
        <v>176008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500000+72241-153048</f>
        <v>419193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800000+191898</f>
        <v>991898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v>8812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3480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3480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>
        <v>250000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5040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24000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285488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86217</v>
      </c>
      <c r="G105" s="1"/>
      <c r="H105" s="31">
        <f>F82+F83+F86+F87+F88+F90+F91+F92+F93+F94+F95+F96+F97+F99+F101+F104+F105+F107+F108+F109+F110+F111+F112+F113</f>
        <v>3340830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110000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150000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230000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11520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8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7278+3712+5364</f>
        <v>16354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19761+88108+127341</f>
        <v>235210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x14ac:dyDescent="0.25">
      <c r="A123" s="67"/>
      <c r="B123" s="76"/>
      <c r="C123" s="73"/>
      <c r="D123" s="8" t="s">
        <v>42</v>
      </c>
      <c r="E123" s="15">
        <v>1596</v>
      </c>
      <c r="F123" s="16">
        <f>3639+1856+940</f>
        <v>6435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1" t="s">
        <v>43</v>
      </c>
      <c r="E125" s="41"/>
      <c r="F125" s="4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1" t="s">
        <v>44</v>
      </c>
      <c r="E126" s="41"/>
      <c r="F126" s="4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1750+17850+20000</f>
        <v>39600</v>
      </c>
      <c r="G127" s="1"/>
      <c r="H127" s="31">
        <f>F121+F122+F123+F127+F139+F140+F146</f>
        <v>838493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30043+35592+3415</f>
        <v>69050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1031+10749+9072</f>
        <v>20852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170346+255500+25146</f>
        <v>450992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710637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214612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1080140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118953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35924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331840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100216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432056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>
        <f>H197+H159+H136+H105+H56+H29</f>
        <v>20764304</v>
      </c>
    </row>
    <row r="224" spans="1:23" x14ac:dyDescent="0.25">
      <c r="F224" s="43">
        <f>H197+H159+H127+H105+H56+H29</f>
        <v>21602797</v>
      </c>
    </row>
    <row r="225" spans="8:8" x14ac:dyDescent="0.25">
      <c r="H225" s="31" t="e">
        <f>H29+H56+H105+H127+#REF!+#REF!+H159+H197</f>
        <v>#REF!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24:F124"/>
    <mergeCell ref="D133:F133"/>
    <mergeCell ref="D135:F135"/>
    <mergeCell ref="D137:F137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114:F114"/>
    <mergeCell ref="D115:F115"/>
    <mergeCell ref="D119:F119"/>
    <mergeCell ref="D120:F120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</mergeCells>
  <pageMargins left="0.14000000000000001" right="0.15748031496062992" top="0.33" bottom="0.35433070866141736" header="0.31496062992125984" footer="0.31496062992125984"/>
  <pageSetup paperSize="9" scale="5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7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2.42578125" style="31" bestFit="1" customWidth="1"/>
    <col min="8" max="8" width="16.5703125" style="1" customWidth="1"/>
    <col min="9" max="9" width="11.42578125" style="1" bestFit="1" customWidth="1"/>
    <col min="10" max="10" width="10" style="1" bestFit="1" customWidth="1"/>
    <col min="11" max="11" width="5.5703125" style="1" customWidth="1"/>
    <col min="12" max="12" width="8.7109375" style="1" customWidth="1"/>
    <col min="13" max="13" width="11.42578125" style="1" bestFit="1" customWidth="1"/>
    <col min="14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72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3981695-1372072</f>
        <v>2609623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1202472-414366</f>
        <v>788106</v>
      </c>
      <c r="G13" s="1"/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400000+120526</f>
        <v>520526</v>
      </c>
      <c r="G16" s="1"/>
      <c r="H16" s="31">
        <f>F12+F13+F47+F48+F82+F83+F152+F153+F187+F188</f>
        <v>12613754</v>
      </c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400000+1226344+250000</f>
        <v>1876344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v>13362</v>
      </c>
      <c r="G18" s="1"/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6720</v>
      </c>
      <c r="G20" s="1"/>
    </row>
    <row r="21" spans="1:8" x14ac:dyDescent="0.25">
      <c r="A21" s="67"/>
      <c r="B21" s="70"/>
      <c r="C21" s="70"/>
      <c r="D21" s="41" t="s">
        <v>44</v>
      </c>
      <c r="E21" s="41"/>
      <c r="F21" s="41">
        <v>7560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v>225000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14280</v>
      </c>
      <c r="G23" s="1"/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165000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32000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8</v>
      </c>
      <c r="G29" s="1"/>
      <c r="H29" s="31">
        <f>F12+F13+F16+F17+F18+F20+F21+F22+F23+F24+F25+F26+F27+F29+F31+F34+F35+F37+F38+F39+F40+F41+F42+F43</f>
        <v>8435863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930670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281062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v>230000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186439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125000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110000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220000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10000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41440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6845125-2283672</f>
        <v>4561453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2067228-689668</f>
        <v>1377560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200000+210921</f>
        <v>410921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v>2146102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v>23382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11760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13230</v>
      </c>
      <c r="G56" s="1"/>
      <c r="H56" s="31">
        <f>F47+F48+F51+F52+F53+F55+F56+F57+F58+F59+F60+F61+F62+F64+F66+F69+F70+F72+F74+F75+F76+F77+F78</f>
        <v>11997468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v>225000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36000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24000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62000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32000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1628672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491858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v>325000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>
        <v>273341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125000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110000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270000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72520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1788843-677521</f>
        <v>1111322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540230-204611</f>
        <v>335619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150000+51654</f>
        <v>201654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500000+525576+100000-79769</f>
        <v>1045807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v>5726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2880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3240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30000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24000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86000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87000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398858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120455</v>
      </c>
      <c r="G105" s="1"/>
      <c r="H105" s="31">
        <f>F82+F83+F86+F87+F88+F90+F91+F92+F93+F94+F95+F96+F97+F99+F101+F104+F105+F107+F108+F109+F110+F111+F112+F113</f>
        <v>4425565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v>250000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205000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80000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350000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86000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5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31374+27928+10778</f>
        <v>70080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108549+287211+320109</f>
        <v>715869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x14ac:dyDescent="0.25">
      <c r="A123" s="67"/>
      <c r="B123" s="76"/>
      <c r="C123" s="73"/>
      <c r="D123" s="8" t="s">
        <v>42</v>
      </c>
      <c r="E123" s="15">
        <v>1596</v>
      </c>
      <c r="F123" s="16">
        <f>3187+3964+389</f>
        <v>7540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2" t="s">
        <v>43</v>
      </c>
      <c r="E125" s="42"/>
      <c r="F125" s="4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2" t="s">
        <v>44</v>
      </c>
      <c r="E126" s="42"/>
      <c r="F126" s="4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25000+22750+25000</f>
        <v>72750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31">
        <f>F121+F122+F123+F139+F140+F146+F127</f>
        <v>2329860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33403+41548+4073</f>
        <v>79024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1231+12547+10087</f>
        <v>23865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603769+689378+67585</f>
        <v>1360732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956503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288863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1461760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166191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50189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449082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135623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584705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F223" s="43" t="e">
        <f>H29+H56+H105+#REF!+#REF!+H129+H159+H197</f>
        <v>#REF!</v>
      </c>
      <c r="H223" s="31" t="e">
        <f>H197+H159+#REF!+H105+H56+H29</f>
        <v>#REF!</v>
      </c>
    </row>
    <row r="227" spans="7:7" x14ac:dyDescent="0.25">
      <c r="G227" s="31">
        <f>H197+H159+H129+H105+H56+H29</f>
        <v>29235221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  <mergeCell ref="D133:F133"/>
    <mergeCell ref="D135:F135"/>
    <mergeCell ref="D137:F137"/>
    <mergeCell ref="D141:F141"/>
    <mergeCell ref="D114:F114"/>
    <mergeCell ref="D115:F115"/>
    <mergeCell ref="D119:F119"/>
    <mergeCell ref="D120:F120"/>
    <mergeCell ref="D124:F124"/>
  </mergeCells>
  <pageMargins left="0.14000000000000001" right="0.15748031496062992" top="0.33" bottom="0.35433070866141736" header="0.31496062992125984" footer="0.31496062992125984"/>
  <pageSetup paperSize="9" scale="51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5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1.42578125" style="1" bestFit="1" customWidth="1"/>
    <col min="10" max="10" width="10" style="1" bestFit="1" customWidth="1"/>
    <col min="11" max="11" width="5.5703125" style="1" customWidth="1"/>
    <col min="12" max="12" width="8.7109375" style="1" customWidth="1"/>
    <col min="13" max="13" width="11.42578125" style="1" bestFit="1" customWidth="1"/>
    <col min="14" max="14" width="9.140625" style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71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5100421-2415658</f>
        <v>2684763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1540327-729529</f>
        <v>810798</v>
      </c>
      <c r="G13" s="1"/>
      <c r="H13" s="31">
        <f>F12+F13+F47+F48+F82+F83+F152+F153+F187+F188</f>
        <v>13661500</v>
      </c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667594+54432</f>
        <v>722026</v>
      </c>
      <c r="G16" s="1"/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667594+601278</f>
        <v>1268872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f>100000+11883</f>
        <v>111883</v>
      </c>
      <c r="G18" s="1"/>
      <c r="H18" s="31">
        <f>F12+F13+F47+F48+F82+F83+F152+F153+F187+F188</f>
        <v>13661500</v>
      </c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16103</v>
      </c>
      <c r="G20" s="1"/>
    </row>
    <row r="21" spans="1:8" x14ac:dyDescent="0.25">
      <c r="A21" s="67"/>
      <c r="B21" s="70"/>
      <c r="C21" s="70"/>
      <c r="D21" s="41" t="s">
        <v>44</v>
      </c>
      <c r="E21" s="41"/>
      <c r="F21" s="41">
        <v>9520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f>350000+15000</f>
        <v>365000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9240</v>
      </c>
      <c r="G23" s="1"/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24000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162000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35000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7</v>
      </c>
      <c r="G29" s="1"/>
      <c r="H29" s="31">
        <f>F12+F13+F16+F17+F18+F20+F21+F22+F23+F24+F25+F26+F27+F29+F31+F34+F35+F37+F38+F39+F40+F41+F42+F43</f>
        <v>9470872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772442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233277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530353+520000</f>
        <v>1050353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450000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120000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160000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230000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15000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f>150000+34585</f>
        <v>184585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9215196-4017622</f>
        <v>5197574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2782989-1213321</f>
        <v>1569668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300000+95256</f>
        <v>395256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500000+1052235</f>
        <v>1552235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f>100000+20796</f>
        <v>120796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28180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16660</v>
      </c>
      <c r="G56" s="1"/>
      <c r="H56" s="31">
        <f>F47+F48+F51+F52+F53+F55+F56+F57+F58+F59+F60+F61+F62+F64+F66+F69+F70+F72+F74+F75+F76+F77+F78</f>
        <v>12638026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v>215000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45000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11760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62000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32000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1351773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408236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530353+425000</f>
        <v>955353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>
        <v>330944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125000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110000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v>230000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160525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2266539-1195115</f>
        <v>1071424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684494-360924</f>
        <v>323570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398020+23328</f>
        <v>421348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398020+257691</f>
        <v>655711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v>5093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6901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4080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>
        <v>150000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3960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25000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3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331047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99976</v>
      </c>
      <c r="G105" s="1"/>
      <c r="H105" s="31">
        <f>F82+F83+F86+F87+F88+F90+F91+F92+F93+F94+F95+F96+F97+F99+F101+F104+F105+F107+F108+F109+F110+F111+F112+F113</f>
        <v>4255892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f>530353+150000-17277</f>
        <v>663076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>
        <v>250000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65000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>
        <v>50000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v>110000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14822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8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103128+103891+100383</f>
        <v>307402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254196+292802+284192</f>
        <v>831190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x14ac:dyDescent="0.25">
      <c r="A123" s="67"/>
      <c r="B123" s="76"/>
      <c r="C123" s="73"/>
      <c r="D123" s="8" t="s">
        <v>42</v>
      </c>
      <c r="E123" s="15">
        <v>1596</v>
      </c>
      <c r="F123" s="16">
        <f>16782+16946+10191</f>
        <v>43919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1" t="s">
        <v>43</v>
      </c>
      <c r="E125" s="41"/>
      <c r="F125" s="4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1" t="s">
        <v>44</v>
      </c>
      <c r="E126" s="41"/>
      <c r="F126" s="4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80000+130000+150000</f>
        <v>360000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31">
        <f>F121+F122+F123+F127+F139+F140+F146</f>
        <v>2642036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34221+42568+4174</f>
        <v>80963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1260+12855+10335</f>
        <v>24450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441426+503340+49346</f>
        <v>994112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1059831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320069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1559506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v>137936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41656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479111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144692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623803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>
        <f>H197+H159+H136+H105+H56+H29</f>
        <v>28548099</v>
      </c>
    </row>
    <row r="224" spans="1:23" x14ac:dyDescent="0.25">
      <c r="F224" s="43">
        <f>H197+H159+H128+H105+H56+H29</f>
        <v>31190135</v>
      </c>
    </row>
    <row r="225" spans="8:8" x14ac:dyDescent="0.25">
      <c r="H225" s="31" t="e">
        <f>H29+H56+H105+H128+#REF!+#REF!+H159+H197</f>
        <v>#REF!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24:F124"/>
    <mergeCell ref="D133:F133"/>
    <mergeCell ref="D135:F135"/>
    <mergeCell ref="D137:F137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114:F114"/>
    <mergeCell ref="D115:F115"/>
    <mergeCell ref="D119:F119"/>
    <mergeCell ref="D120:F120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</mergeCells>
  <pageMargins left="0.14000000000000001" right="0.15748031496062992" top="0.33" bottom="0.35433070866141736" header="0.31496062992125984" footer="0.31496062992125984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226"/>
  <sheetViews>
    <sheetView workbookViewId="0">
      <selection activeCell="E1" sqref="E1:F2"/>
    </sheetView>
  </sheetViews>
  <sheetFormatPr defaultColWidth="9.140625" defaultRowHeight="15" x14ac:dyDescent="0.25"/>
  <cols>
    <col min="1" max="1" width="27" style="1" customWidth="1"/>
    <col min="2" max="2" width="12.140625" style="1" customWidth="1"/>
    <col min="3" max="3" width="11.140625" style="1" customWidth="1"/>
    <col min="4" max="4" width="39" style="1" customWidth="1"/>
    <col min="5" max="5" width="17.7109375" style="1" customWidth="1"/>
    <col min="6" max="6" width="15.42578125" style="35" customWidth="1"/>
    <col min="7" max="7" width="11.42578125" style="31" bestFit="1" customWidth="1"/>
    <col min="8" max="8" width="16.5703125" style="1" customWidth="1"/>
    <col min="9" max="9" width="17.140625" style="1" customWidth="1"/>
    <col min="10" max="10" width="10" style="1" bestFit="1" customWidth="1"/>
    <col min="11" max="11" width="5.5703125" style="1" customWidth="1"/>
    <col min="12" max="12" width="8.7109375" style="1" customWidth="1"/>
    <col min="13" max="13" width="9.140625" style="1"/>
    <col min="14" max="14" width="11.42578125" style="1" bestFit="1" customWidth="1"/>
    <col min="15" max="15" width="10" style="1" bestFit="1" customWidth="1"/>
    <col min="16" max="16" width="10" style="1" customWidth="1"/>
    <col min="17" max="17" width="10" style="1" bestFit="1" customWidth="1"/>
    <col min="18" max="19" width="10" style="1" customWidth="1"/>
    <col min="20" max="20" width="10" style="1" bestFit="1" customWidth="1"/>
    <col min="21" max="22" width="11.42578125" style="1" bestFit="1" customWidth="1"/>
    <col min="23" max="23" width="15.42578125" style="1" customWidth="1"/>
    <col min="24" max="16384" width="9.140625" style="1"/>
  </cols>
  <sheetData>
    <row r="1" spans="1:12" ht="19.5" customHeight="1" x14ac:dyDescent="0.25">
      <c r="A1" s="11"/>
      <c r="B1" s="11"/>
      <c r="C1" s="11"/>
      <c r="D1" s="12"/>
      <c r="E1" s="61" t="s">
        <v>10</v>
      </c>
      <c r="F1" s="61"/>
      <c r="G1" s="30"/>
    </row>
    <row r="2" spans="1:12" ht="15.75" customHeight="1" x14ac:dyDescent="0.25">
      <c r="A2" s="11"/>
      <c r="B2" s="11"/>
      <c r="C2" s="11"/>
      <c r="D2" s="12"/>
      <c r="E2" s="61" t="s">
        <v>103</v>
      </c>
      <c r="F2" s="61"/>
      <c r="G2" s="30"/>
      <c r="I2" s="9"/>
      <c r="J2" s="9"/>
      <c r="K2" s="9"/>
      <c r="L2" s="9"/>
    </row>
    <row r="3" spans="1:12" hidden="1" x14ac:dyDescent="0.25">
      <c r="A3" s="11"/>
      <c r="B3" s="11"/>
      <c r="C3" s="11"/>
      <c r="D3" s="11"/>
      <c r="E3" s="11"/>
      <c r="F3" s="32"/>
    </row>
    <row r="4" spans="1:12" x14ac:dyDescent="0.25">
      <c r="A4" s="11"/>
      <c r="B4" s="11"/>
      <c r="C4" s="11"/>
      <c r="D4" s="11"/>
      <c r="E4" s="11"/>
      <c r="F4" s="32"/>
      <c r="G4" s="1"/>
    </row>
    <row r="5" spans="1:12" ht="54.75" customHeight="1" x14ac:dyDescent="0.25">
      <c r="A5" s="62" t="s">
        <v>57</v>
      </c>
      <c r="B5" s="62"/>
      <c r="C5" s="62"/>
      <c r="D5" s="62"/>
      <c r="E5" s="62"/>
      <c r="F5" s="62"/>
      <c r="G5" s="1"/>
    </row>
    <row r="6" spans="1:12" ht="13.5" customHeight="1" x14ac:dyDescent="0.25">
      <c r="A6" s="11"/>
      <c r="B6" s="11"/>
      <c r="C6" s="11" t="s">
        <v>70</v>
      </c>
      <c r="D6" s="11"/>
      <c r="E6" s="11"/>
      <c r="F6" s="32"/>
      <c r="G6" s="1"/>
    </row>
    <row r="7" spans="1:12" ht="105.75" customHeight="1" x14ac:dyDescent="0.25">
      <c r="A7" s="4" t="s">
        <v>0</v>
      </c>
      <c r="B7" s="4" t="s">
        <v>1</v>
      </c>
      <c r="C7" s="4" t="s">
        <v>13</v>
      </c>
      <c r="D7" s="4" t="s">
        <v>11</v>
      </c>
      <c r="E7" s="4" t="s">
        <v>12</v>
      </c>
      <c r="F7" s="23" t="s">
        <v>14</v>
      </c>
      <c r="G7" s="1"/>
    </row>
    <row r="8" spans="1:12" ht="13.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21">
        <v>6</v>
      </c>
      <c r="G8" s="1"/>
    </row>
    <row r="9" spans="1:12" ht="27" customHeight="1" x14ac:dyDescent="0.25">
      <c r="A9" s="66" t="s">
        <v>75</v>
      </c>
      <c r="B9" s="69" t="s">
        <v>91</v>
      </c>
      <c r="C9" s="69" t="s">
        <v>55</v>
      </c>
      <c r="D9" s="57" t="s">
        <v>28</v>
      </c>
      <c r="E9" s="58"/>
      <c r="F9" s="59"/>
      <c r="G9" s="1"/>
    </row>
    <row r="10" spans="1:12" x14ac:dyDescent="0.25">
      <c r="A10" s="67"/>
      <c r="B10" s="70"/>
      <c r="C10" s="70"/>
      <c r="D10" s="60" t="s">
        <v>29</v>
      </c>
      <c r="E10" s="60"/>
      <c r="F10" s="60"/>
      <c r="G10" s="1"/>
    </row>
    <row r="11" spans="1:12" x14ac:dyDescent="0.25">
      <c r="A11" s="67"/>
      <c r="B11" s="70"/>
      <c r="C11" s="70"/>
      <c r="D11" s="14" t="s">
        <v>56</v>
      </c>
      <c r="E11" s="10" t="s">
        <v>15</v>
      </c>
      <c r="F11" s="10">
        <v>92.56</v>
      </c>
      <c r="G11" s="1"/>
    </row>
    <row r="12" spans="1:12" x14ac:dyDescent="0.25">
      <c r="A12" s="67"/>
      <c r="B12" s="70"/>
      <c r="C12" s="70"/>
      <c r="D12" s="6" t="s">
        <v>26</v>
      </c>
      <c r="E12" s="7" t="s">
        <v>8</v>
      </c>
      <c r="F12" s="33">
        <f>3683898-1125884</f>
        <v>2558014</v>
      </c>
      <c r="G12" s="1"/>
    </row>
    <row r="13" spans="1:12" x14ac:dyDescent="0.25">
      <c r="A13" s="67"/>
      <c r="B13" s="70"/>
      <c r="C13" s="70"/>
      <c r="D13" s="5" t="s">
        <v>27</v>
      </c>
      <c r="E13" s="7" t="s">
        <v>8</v>
      </c>
      <c r="F13" s="34">
        <f>1112537-340017</f>
        <v>772520</v>
      </c>
      <c r="G13" s="1"/>
      <c r="I13" s="31">
        <f>F12+F13++F47+F48+F82+F83+F152+F153+F187+F188</f>
        <v>11656026</v>
      </c>
    </row>
    <row r="14" spans="1:12" x14ac:dyDescent="0.25">
      <c r="A14" s="67"/>
      <c r="B14" s="70"/>
      <c r="C14" s="70"/>
      <c r="D14" s="57" t="s">
        <v>30</v>
      </c>
      <c r="E14" s="58"/>
      <c r="F14" s="59"/>
      <c r="G14" s="1"/>
    </row>
    <row r="15" spans="1:12" x14ac:dyDescent="0.25">
      <c r="A15" s="67"/>
      <c r="B15" s="70"/>
      <c r="C15" s="70"/>
      <c r="D15" s="60" t="s">
        <v>31</v>
      </c>
      <c r="E15" s="60"/>
      <c r="F15" s="60"/>
      <c r="G15" s="1"/>
      <c r="I15" s="31">
        <f>F12+F13+F47+F48+F82+F83+F152+F153+F187+F188</f>
        <v>11656026</v>
      </c>
    </row>
    <row r="16" spans="1:12" x14ac:dyDescent="0.25">
      <c r="A16" s="67"/>
      <c r="B16" s="70"/>
      <c r="C16" s="70"/>
      <c r="D16" s="8" t="s">
        <v>6</v>
      </c>
      <c r="E16" s="15" t="s">
        <v>2</v>
      </c>
      <c r="F16" s="16">
        <f>150000+204901</f>
        <v>354901</v>
      </c>
      <c r="G16" s="1"/>
    </row>
    <row r="17" spans="1:8" x14ac:dyDescent="0.25">
      <c r="A17" s="67"/>
      <c r="B17" s="70"/>
      <c r="C17" s="70"/>
      <c r="D17" s="8" t="s">
        <v>3</v>
      </c>
      <c r="E17" s="15" t="s">
        <v>5</v>
      </c>
      <c r="F17" s="16">
        <f>500000+242015</f>
        <v>742015</v>
      </c>
      <c r="G17" s="1"/>
    </row>
    <row r="18" spans="1:8" ht="15.75" x14ac:dyDescent="0.25">
      <c r="A18" s="67"/>
      <c r="B18" s="70"/>
      <c r="C18" s="70"/>
      <c r="D18" s="8" t="s">
        <v>42</v>
      </c>
      <c r="E18" s="15" t="s">
        <v>20</v>
      </c>
      <c r="F18" s="16">
        <f>35000+11172</f>
        <v>46172</v>
      </c>
      <c r="G18" s="1"/>
    </row>
    <row r="19" spans="1:8" ht="34.5" customHeight="1" x14ac:dyDescent="0.25">
      <c r="A19" s="67"/>
      <c r="B19" s="70"/>
      <c r="C19" s="70"/>
      <c r="D19" s="57" t="s">
        <v>32</v>
      </c>
      <c r="E19" s="58"/>
      <c r="F19" s="59"/>
      <c r="G19" s="1"/>
    </row>
    <row r="20" spans="1:8" x14ac:dyDescent="0.25">
      <c r="A20" s="67"/>
      <c r="B20" s="70"/>
      <c r="C20" s="70"/>
      <c r="D20" s="41" t="s">
        <v>43</v>
      </c>
      <c r="E20" s="41"/>
      <c r="F20" s="41">
        <v>7546</v>
      </c>
      <c r="G20" s="1"/>
    </row>
    <row r="21" spans="1:8" x14ac:dyDescent="0.25">
      <c r="A21" s="67"/>
      <c r="B21" s="70"/>
      <c r="C21" s="70"/>
      <c r="D21" s="41" t="s">
        <v>44</v>
      </c>
      <c r="E21" s="41"/>
      <c r="F21" s="41">
        <v>11200</v>
      </c>
      <c r="G21" s="1"/>
    </row>
    <row r="22" spans="1:8" x14ac:dyDescent="0.25">
      <c r="A22" s="67"/>
      <c r="B22" s="70"/>
      <c r="C22" s="70"/>
      <c r="D22" s="17" t="s">
        <v>21</v>
      </c>
      <c r="E22" s="4" t="s">
        <v>22</v>
      </c>
      <c r="F22" s="23">
        <f>150000+15000</f>
        <v>165000</v>
      </c>
      <c r="G22" s="1"/>
    </row>
    <row r="23" spans="1:8" x14ac:dyDescent="0.25">
      <c r="A23" s="67"/>
      <c r="B23" s="70"/>
      <c r="C23" s="70"/>
      <c r="D23" s="17" t="s">
        <v>23</v>
      </c>
      <c r="E23" s="18" t="s">
        <v>16</v>
      </c>
      <c r="F23" s="10">
        <v>10080</v>
      </c>
      <c r="G23" s="1"/>
    </row>
    <row r="24" spans="1:8" ht="39" x14ac:dyDescent="0.25">
      <c r="A24" s="67"/>
      <c r="B24" s="70"/>
      <c r="C24" s="70"/>
      <c r="D24" s="38" t="s">
        <v>47</v>
      </c>
      <c r="E24" s="18" t="s">
        <v>16</v>
      </c>
      <c r="F24" s="10">
        <v>6720</v>
      </c>
      <c r="G24" s="1"/>
    </row>
    <row r="25" spans="1:8" x14ac:dyDescent="0.25">
      <c r="A25" s="67"/>
      <c r="B25" s="70"/>
      <c r="C25" s="70"/>
      <c r="D25" s="17" t="s">
        <v>24</v>
      </c>
      <c r="E25" s="18" t="s">
        <v>16</v>
      </c>
      <c r="F25" s="10">
        <v>150000</v>
      </c>
      <c r="G25" s="1"/>
    </row>
    <row r="26" spans="1:8" x14ac:dyDescent="0.25">
      <c r="A26" s="67"/>
      <c r="B26" s="70"/>
      <c r="C26" s="70"/>
      <c r="D26" s="17" t="s">
        <v>45</v>
      </c>
      <c r="E26" s="18" t="s">
        <v>16</v>
      </c>
      <c r="F26" s="10">
        <v>31000</v>
      </c>
      <c r="G26" s="1"/>
    </row>
    <row r="27" spans="1:8" ht="26.25" x14ac:dyDescent="0.25">
      <c r="A27" s="67"/>
      <c r="B27" s="70"/>
      <c r="C27" s="70"/>
      <c r="D27" s="38" t="s">
        <v>46</v>
      </c>
      <c r="E27" s="18" t="s">
        <v>16</v>
      </c>
      <c r="F27" s="10">
        <v>36000</v>
      </c>
      <c r="G27" s="1"/>
    </row>
    <row r="28" spans="1:8" ht="29.25" customHeight="1" x14ac:dyDescent="0.25">
      <c r="A28" s="67"/>
      <c r="B28" s="70"/>
      <c r="C28" s="70"/>
      <c r="D28" s="57" t="s">
        <v>34</v>
      </c>
      <c r="E28" s="58"/>
      <c r="F28" s="59"/>
      <c r="G28" s="1"/>
    </row>
    <row r="29" spans="1:8" x14ac:dyDescent="0.25">
      <c r="A29" s="67"/>
      <c r="B29" s="70"/>
      <c r="C29" s="70"/>
      <c r="D29" s="17" t="s">
        <v>9</v>
      </c>
      <c r="E29" s="19" t="s">
        <v>18</v>
      </c>
      <c r="F29" s="23">
        <v>6</v>
      </c>
      <c r="G29" s="1"/>
      <c r="H29" s="31">
        <f>F12+F13+F16+F17+F18+F20+F21+F22+F23+F24+F25+F26+F27+F34+F35+F37+F38+F39+F40+F41+F42+F43</f>
        <v>6180143.5</v>
      </c>
    </row>
    <row r="30" spans="1:8" x14ac:dyDescent="0.25">
      <c r="A30" s="67"/>
      <c r="B30" s="70"/>
      <c r="C30" s="70"/>
      <c r="D30" s="57" t="s">
        <v>33</v>
      </c>
      <c r="E30" s="58"/>
      <c r="F30" s="59"/>
      <c r="G30" s="1"/>
    </row>
    <row r="31" spans="1:8" x14ac:dyDescent="0.25">
      <c r="A31" s="67"/>
      <c r="B31" s="70"/>
      <c r="C31" s="70"/>
      <c r="D31" s="20" t="s">
        <v>7</v>
      </c>
      <c r="E31" s="22" t="s">
        <v>25</v>
      </c>
      <c r="F31" s="23">
        <v>3</v>
      </c>
      <c r="G31" s="1"/>
    </row>
    <row r="32" spans="1:8" ht="30" customHeight="1" x14ac:dyDescent="0.25">
      <c r="A32" s="67"/>
      <c r="B32" s="70"/>
      <c r="C32" s="70"/>
      <c r="D32" s="60" t="s">
        <v>35</v>
      </c>
      <c r="E32" s="60"/>
      <c r="F32" s="60"/>
      <c r="G32" s="1"/>
    </row>
    <row r="33" spans="1:26" ht="26.25" x14ac:dyDescent="0.25">
      <c r="A33" s="67"/>
      <c r="B33" s="70"/>
      <c r="C33" s="70"/>
      <c r="D33" s="36" t="s">
        <v>41</v>
      </c>
      <c r="E33" s="18" t="s">
        <v>15</v>
      </c>
      <c r="F33" s="25">
        <v>46.6</v>
      </c>
      <c r="G33" s="1"/>
    </row>
    <row r="34" spans="1:26" x14ac:dyDescent="0.25">
      <c r="A34" s="67"/>
      <c r="B34" s="70"/>
      <c r="C34" s="70"/>
      <c r="D34" s="6" t="s">
        <v>26</v>
      </c>
      <c r="E34" s="7" t="s">
        <v>8</v>
      </c>
      <c r="F34" s="34">
        <v>641432</v>
      </c>
      <c r="G34" s="1"/>
    </row>
    <row r="35" spans="1:26" x14ac:dyDescent="0.25">
      <c r="A35" s="67"/>
      <c r="B35" s="70"/>
      <c r="C35" s="70"/>
      <c r="D35" s="5" t="s">
        <v>27</v>
      </c>
      <c r="E35" s="7" t="s">
        <v>8</v>
      </c>
      <c r="F35" s="34">
        <v>193713</v>
      </c>
      <c r="G35" s="1"/>
    </row>
    <row r="36" spans="1:26" x14ac:dyDescent="0.25">
      <c r="A36" s="67"/>
      <c r="B36" s="70"/>
      <c r="C36" s="70"/>
      <c r="D36" s="60" t="s">
        <v>36</v>
      </c>
      <c r="E36" s="60"/>
      <c r="F36" s="60"/>
      <c r="G36" s="1"/>
    </row>
    <row r="37" spans="1:26" x14ac:dyDescent="0.25">
      <c r="A37" s="67"/>
      <c r="B37" s="70"/>
      <c r="C37" s="70"/>
      <c r="D37" s="26" t="s">
        <v>19</v>
      </c>
      <c r="E37" s="27" t="s">
        <v>8</v>
      </c>
      <c r="F37" s="29">
        <f>161145+10000</f>
        <v>171145</v>
      </c>
      <c r="G37" s="1"/>
    </row>
    <row r="38" spans="1:26" x14ac:dyDescent="0.25">
      <c r="A38" s="67"/>
      <c r="B38" s="70"/>
      <c r="C38" s="70"/>
      <c r="D38" s="26" t="s">
        <v>50</v>
      </c>
      <c r="E38" s="27"/>
      <c r="F38" s="29">
        <v>161145.5</v>
      </c>
      <c r="G38" s="1"/>
    </row>
    <row r="39" spans="1:26" ht="26.25" x14ac:dyDescent="0.25">
      <c r="A39" s="67"/>
      <c r="B39" s="70"/>
      <c r="C39" s="70"/>
      <c r="D39" s="26" t="s">
        <v>51</v>
      </c>
      <c r="E39" s="27"/>
      <c r="F39" s="29">
        <v>60000</v>
      </c>
      <c r="G39" s="1"/>
    </row>
    <row r="40" spans="1:26" ht="39" x14ac:dyDescent="0.25">
      <c r="A40" s="67"/>
      <c r="B40" s="70"/>
      <c r="C40" s="70"/>
      <c r="D40" s="26" t="s">
        <v>48</v>
      </c>
      <c r="E40" s="27"/>
      <c r="F40" s="29">
        <v>3500</v>
      </c>
      <c r="G40" s="1"/>
    </row>
    <row r="41" spans="1:26" x14ac:dyDescent="0.25">
      <c r="A41" s="67"/>
      <c r="B41" s="70"/>
      <c r="C41" s="70"/>
      <c r="D41" s="26" t="s">
        <v>4</v>
      </c>
      <c r="E41" s="27" t="s">
        <v>17</v>
      </c>
      <c r="F41" s="28">
        <v>20000</v>
      </c>
      <c r="G41" s="1"/>
    </row>
    <row r="42" spans="1:26" ht="26.25" x14ac:dyDescent="0.25">
      <c r="A42" s="67"/>
      <c r="B42" s="70"/>
      <c r="C42" s="70"/>
      <c r="D42" s="26" t="s">
        <v>49</v>
      </c>
      <c r="E42" s="10" t="s">
        <v>8</v>
      </c>
      <c r="F42" s="29">
        <v>5000</v>
      </c>
      <c r="G42" s="1"/>
    </row>
    <row r="43" spans="1:26" x14ac:dyDescent="0.25">
      <c r="A43" s="68"/>
      <c r="B43" s="71"/>
      <c r="C43" s="71"/>
      <c r="D43" s="26" t="s">
        <v>24</v>
      </c>
      <c r="E43" s="10" t="s">
        <v>8</v>
      </c>
      <c r="F43" s="29">
        <v>33040</v>
      </c>
      <c r="G43" s="1"/>
    </row>
    <row r="44" spans="1:26" s="3" customFormat="1" ht="22.5" customHeight="1" x14ac:dyDescent="0.25">
      <c r="A44" s="66" t="s">
        <v>76</v>
      </c>
      <c r="B44" s="72" t="s">
        <v>92</v>
      </c>
      <c r="C44" s="72" t="s">
        <v>55</v>
      </c>
      <c r="D44" s="57" t="s">
        <v>28</v>
      </c>
      <c r="E44" s="58"/>
      <c r="F44" s="59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s="3" customFormat="1" x14ac:dyDescent="0.25">
      <c r="A45" s="67"/>
      <c r="B45" s="73"/>
      <c r="C45" s="73"/>
      <c r="D45" s="60" t="s">
        <v>29</v>
      </c>
      <c r="E45" s="60"/>
      <c r="F45" s="60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s="3" customFormat="1" x14ac:dyDescent="0.25">
      <c r="A46" s="67"/>
      <c r="B46" s="73"/>
      <c r="C46" s="73"/>
      <c r="D46" s="14" t="s">
        <v>40</v>
      </c>
      <c r="E46" s="10" t="s">
        <v>15</v>
      </c>
      <c r="F46" s="10">
        <v>92.56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3" customFormat="1" x14ac:dyDescent="0.25">
      <c r="A47" s="67"/>
      <c r="B47" s="73"/>
      <c r="C47" s="73"/>
      <c r="D47" s="6" t="s">
        <v>26</v>
      </c>
      <c r="E47" s="7" t="s">
        <v>8</v>
      </c>
      <c r="F47" s="33">
        <f>6658712-609138-1872525</f>
        <v>4177049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s="3" customFormat="1" x14ac:dyDescent="0.25">
      <c r="A48" s="67"/>
      <c r="B48" s="73"/>
      <c r="C48" s="73"/>
      <c r="D48" s="5" t="s">
        <v>27</v>
      </c>
      <c r="E48" s="7" t="s">
        <v>8</v>
      </c>
      <c r="F48" s="34">
        <f>2010931-183959-565502</f>
        <v>1261470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s="3" customFormat="1" x14ac:dyDescent="0.25">
      <c r="A49" s="67"/>
      <c r="B49" s="73"/>
      <c r="C49" s="73"/>
      <c r="D49" s="57" t="s">
        <v>30</v>
      </c>
      <c r="E49" s="58"/>
      <c r="F49" s="59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s="3" customFormat="1" x14ac:dyDescent="0.25">
      <c r="A50" s="67"/>
      <c r="B50" s="73"/>
      <c r="C50" s="73"/>
      <c r="D50" s="57" t="s">
        <v>31</v>
      </c>
      <c r="E50" s="58"/>
      <c r="F50" s="5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s="3" customFormat="1" x14ac:dyDescent="0.25">
      <c r="A51" s="67"/>
      <c r="B51" s="73"/>
      <c r="C51" s="73"/>
      <c r="D51" s="8" t="s">
        <v>6</v>
      </c>
      <c r="E51" s="15" t="s">
        <v>2</v>
      </c>
      <c r="F51" s="16">
        <f>150000+358577</f>
        <v>508577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s="3" customFormat="1" x14ac:dyDescent="0.25">
      <c r="A52" s="67"/>
      <c r="B52" s="73"/>
      <c r="C52" s="73"/>
      <c r="D52" s="8" t="s">
        <v>3</v>
      </c>
      <c r="E52" s="15" t="s">
        <v>5</v>
      </c>
      <c r="F52" s="16">
        <f>500000+423527</f>
        <v>923527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s="3" customFormat="1" ht="15.75" x14ac:dyDescent="0.25">
      <c r="A53" s="67"/>
      <c r="B53" s="73"/>
      <c r="C53" s="73"/>
      <c r="D53" s="8" t="s">
        <v>42</v>
      </c>
      <c r="E53" s="15" t="s">
        <v>20</v>
      </c>
      <c r="F53" s="16">
        <f>35000+19551</f>
        <v>54551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s="3" customFormat="1" ht="29.25" customHeight="1" x14ac:dyDescent="0.25">
      <c r="A54" s="67"/>
      <c r="B54" s="73"/>
      <c r="C54" s="73"/>
      <c r="D54" s="57" t="s">
        <v>32</v>
      </c>
      <c r="E54" s="58"/>
      <c r="F54" s="59"/>
      <c r="G54" s="1"/>
      <c r="H54" s="31">
        <f>F47+F48+F51+F52+F53+F55+F56+F57+F58+F59+F60+F61+F62+F69+F70+F72+F74+F75+F76+F77+F78</f>
        <v>9293901.0299999993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s="3" customFormat="1" x14ac:dyDescent="0.25">
      <c r="A55" s="67"/>
      <c r="B55" s="73"/>
      <c r="C55" s="73"/>
      <c r="D55" s="41" t="s">
        <v>43</v>
      </c>
      <c r="E55" s="41"/>
      <c r="F55" s="41">
        <v>13206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s="3" customFormat="1" x14ac:dyDescent="0.25">
      <c r="A56" s="67"/>
      <c r="B56" s="73"/>
      <c r="C56" s="73"/>
      <c r="D56" s="41" t="s">
        <v>44</v>
      </c>
      <c r="E56" s="41"/>
      <c r="F56" s="41">
        <v>19600</v>
      </c>
      <c r="G56" s="1"/>
      <c r="H56" s="31">
        <f>F47+F48+F51+F52+F53+F55+F56+F57+F58+F59+F60+F61+F62+F64+F66+F69+F70+F72+F74+F75+F76+F77+F78</f>
        <v>9293911.0299999993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3" customFormat="1" x14ac:dyDescent="0.25">
      <c r="A57" s="67"/>
      <c r="B57" s="73"/>
      <c r="C57" s="73"/>
      <c r="D57" s="17" t="s">
        <v>21</v>
      </c>
      <c r="E57" s="4" t="s">
        <v>22</v>
      </c>
      <c r="F57" s="23">
        <f>120000+10000</f>
        <v>130000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s="3" customFormat="1" x14ac:dyDescent="0.25">
      <c r="A58" s="67"/>
      <c r="B58" s="73"/>
      <c r="C58" s="73"/>
      <c r="D58" s="17" t="s">
        <v>23</v>
      </c>
      <c r="E58" s="18" t="s">
        <v>16</v>
      </c>
      <c r="F58" s="10">
        <v>17640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s="3" customFormat="1" ht="39" x14ac:dyDescent="0.25">
      <c r="A59" s="67"/>
      <c r="B59" s="73"/>
      <c r="C59" s="73"/>
      <c r="D59" s="38" t="s">
        <v>47</v>
      </c>
      <c r="E59" s="18"/>
      <c r="F59" s="10">
        <v>11760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s="3" customFormat="1" x14ac:dyDescent="0.25">
      <c r="A60" s="67"/>
      <c r="B60" s="73"/>
      <c r="C60" s="73"/>
      <c r="D60" s="17" t="s">
        <v>24</v>
      </c>
      <c r="E60" s="18"/>
      <c r="F60" s="10">
        <v>52000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s="3" customFormat="1" x14ac:dyDescent="0.25">
      <c r="A61" s="67"/>
      <c r="B61" s="73"/>
      <c r="C61" s="73"/>
      <c r="D61" s="17" t="s">
        <v>45</v>
      </c>
      <c r="E61" s="18"/>
      <c r="F61" s="10">
        <v>27000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s="3" customFormat="1" ht="26.25" x14ac:dyDescent="0.25">
      <c r="A62" s="67"/>
      <c r="B62" s="73"/>
      <c r="C62" s="73"/>
      <c r="D62" s="38" t="s">
        <v>46</v>
      </c>
      <c r="E62" s="18"/>
      <c r="F62" s="10">
        <v>36000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s="3" customFormat="1" ht="29.25" customHeight="1" x14ac:dyDescent="0.25">
      <c r="A63" s="67"/>
      <c r="B63" s="73"/>
      <c r="C63" s="73"/>
      <c r="D63" s="57" t="s">
        <v>34</v>
      </c>
      <c r="E63" s="58"/>
      <c r="F63" s="5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s="3" customFormat="1" x14ac:dyDescent="0.25">
      <c r="A64" s="67"/>
      <c r="B64" s="73"/>
      <c r="C64" s="73"/>
      <c r="D64" s="17" t="s">
        <v>9</v>
      </c>
      <c r="E64" s="19" t="s">
        <v>18</v>
      </c>
      <c r="F64" s="23">
        <v>8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s="3" customFormat="1" x14ac:dyDescent="0.25">
      <c r="A65" s="67"/>
      <c r="B65" s="73"/>
      <c r="C65" s="73"/>
      <c r="D65" s="57" t="s">
        <v>33</v>
      </c>
      <c r="E65" s="58"/>
      <c r="F65" s="59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s="3" customFormat="1" x14ac:dyDescent="0.25">
      <c r="A66" s="67"/>
      <c r="B66" s="73"/>
      <c r="C66" s="73"/>
      <c r="D66" s="20" t="s">
        <v>7</v>
      </c>
      <c r="E66" s="22" t="s">
        <v>25</v>
      </c>
      <c r="F66" s="23">
        <v>2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s="3" customFormat="1" ht="30" customHeight="1" x14ac:dyDescent="0.25">
      <c r="A67" s="67"/>
      <c r="B67" s="73"/>
      <c r="C67" s="73"/>
      <c r="D67" s="60" t="s">
        <v>35</v>
      </c>
      <c r="E67" s="60"/>
      <c r="F67" s="6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s="3" customFormat="1" ht="26.25" x14ac:dyDescent="0.25">
      <c r="A68" s="67"/>
      <c r="B68" s="73"/>
      <c r="C68" s="73"/>
      <c r="D68" s="36" t="s">
        <v>41</v>
      </c>
      <c r="E68" s="18" t="s">
        <v>15</v>
      </c>
      <c r="F68" s="25">
        <v>47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s="3" customFormat="1" x14ac:dyDescent="0.25">
      <c r="A69" s="67"/>
      <c r="B69" s="73"/>
      <c r="C69" s="73"/>
      <c r="D69" s="6" t="s">
        <v>26</v>
      </c>
      <c r="E69" s="7" t="s">
        <v>8</v>
      </c>
      <c r="F69" s="34">
        <v>1122507</v>
      </c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s="3" customFormat="1" x14ac:dyDescent="0.25">
      <c r="A70" s="67"/>
      <c r="B70" s="73"/>
      <c r="C70" s="73"/>
      <c r="D70" s="5" t="s">
        <v>27</v>
      </c>
      <c r="E70" s="7" t="s">
        <v>8</v>
      </c>
      <c r="F70" s="34">
        <v>338997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s="3" customFormat="1" x14ac:dyDescent="0.25">
      <c r="A71" s="67"/>
      <c r="B71" s="73"/>
      <c r="C71" s="73"/>
      <c r="D71" s="60" t="s">
        <v>36</v>
      </c>
      <c r="E71" s="60"/>
      <c r="F71" s="60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s="3" customFormat="1" x14ac:dyDescent="0.25">
      <c r="A72" s="67"/>
      <c r="B72" s="73"/>
      <c r="C72" s="73"/>
      <c r="D72" s="26" t="s">
        <v>19</v>
      </c>
      <c r="E72" s="27" t="s">
        <v>8</v>
      </c>
      <c r="F72" s="29">
        <f>176145.5+20000</f>
        <v>196145.5</v>
      </c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s="3" customFormat="1" x14ac:dyDescent="0.25">
      <c r="A73" s="67"/>
      <c r="B73" s="73"/>
      <c r="C73" s="73"/>
      <c r="D73" s="26" t="s">
        <v>50</v>
      </c>
      <c r="E73" s="27"/>
      <c r="F73" s="29">
        <v>250000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s="3" customFormat="1" x14ac:dyDescent="0.25">
      <c r="A74" s="67"/>
      <c r="B74" s="73"/>
      <c r="C74" s="73"/>
      <c r="D74" s="26" t="s">
        <v>52</v>
      </c>
      <c r="E74" s="27"/>
      <c r="F74" s="29">
        <v>125000</v>
      </c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s="3" customFormat="1" ht="39" x14ac:dyDescent="0.25">
      <c r="A75" s="67"/>
      <c r="B75" s="73"/>
      <c r="C75" s="73"/>
      <c r="D75" s="26" t="s">
        <v>48</v>
      </c>
      <c r="E75" s="27"/>
      <c r="F75" s="29">
        <v>5000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s="3" customFormat="1" x14ac:dyDescent="0.25">
      <c r="A76" s="67"/>
      <c r="B76" s="73"/>
      <c r="C76" s="73"/>
      <c r="D76" s="26" t="s">
        <v>4</v>
      </c>
      <c r="E76" s="27" t="s">
        <v>17</v>
      </c>
      <c r="F76" s="29">
        <f>176145.5+25000-93.97</f>
        <v>201051.53</v>
      </c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3" customFormat="1" ht="26.25" x14ac:dyDescent="0.25">
      <c r="A77" s="67"/>
      <c r="B77" s="73"/>
      <c r="C77" s="73"/>
      <c r="D77" s="26" t="s">
        <v>49</v>
      </c>
      <c r="E77" s="10" t="s">
        <v>8</v>
      </c>
      <c r="F77" s="29">
        <v>15000</v>
      </c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s="3" customFormat="1" x14ac:dyDescent="0.25">
      <c r="A78" s="68"/>
      <c r="B78" s="74"/>
      <c r="C78" s="74"/>
      <c r="D78" s="26" t="s">
        <v>24</v>
      </c>
      <c r="E78" s="10" t="s">
        <v>8</v>
      </c>
      <c r="F78" s="29">
        <v>57820</v>
      </c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s="3" customFormat="1" ht="21" customHeight="1" x14ac:dyDescent="0.25">
      <c r="A79" s="66" t="s">
        <v>77</v>
      </c>
      <c r="B79" s="72" t="s">
        <v>93</v>
      </c>
      <c r="C79" s="72" t="s">
        <v>55</v>
      </c>
      <c r="D79" s="57" t="s">
        <v>28</v>
      </c>
      <c r="E79" s="58"/>
      <c r="F79" s="59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s="3" customFormat="1" x14ac:dyDescent="0.25">
      <c r="A80" s="67"/>
      <c r="B80" s="73"/>
      <c r="C80" s="73"/>
      <c r="D80" s="60" t="s">
        <v>29</v>
      </c>
      <c r="E80" s="60"/>
      <c r="F80" s="60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3" customFormat="1" x14ac:dyDescent="0.25">
      <c r="A81" s="67"/>
      <c r="B81" s="73"/>
      <c r="C81" s="73"/>
      <c r="D81" s="14" t="s">
        <v>40</v>
      </c>
      <c r="E81" s="10" t="s">
        <v>15</v>
      </c>
      <c r="F81" s="10">
        <v>92.56</v>
      </c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s="3" customFormat="1" x14ac:dyDescent="0.25">
      <c r="A82" s="67"/>
      <c r="B82" s="73"/>
      <c r="C82" s="73"/>
      <c r="D82" s="6" t="s">
        <v>26</v>
      </c>
      <c r="E82" s="7" t="s">
        <v>8</v>
      </c>
      <c r="F82" s="33">
        <f>1652586-557016</f>
        <v>1095570</v>
      </c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3" customFormat="1" x14ac:dyDescent="0.25">
      <c r="A83" s="67"/>
      <c r="B83" s="73"/>
      <c r="C83" s="73"/>
      <c r="D83" s="5" t="s">
        <v>27</v>
      </c>
      <c r="E83" s="7" t="s">
        <v>8</v>
      </c>
      <c r="F83" s="34">
        <f>499081-168219</f>
        <v>330862</v>
      </c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s="3" customFormat="1" x14ac:dyDescent="0.25">
      <c r="A84" s="67"/>
      <c r="B84" s="73"/>
      <c r="C84" s="73"/>
      <c r="D84" s="57" t="s">
        <v>30</v>
      </c>
      <c r="E84" s="58"/>
      <c r="F84" s="59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s="3" customFormat="1" x14ac:dyDescent="0.25">
      <c r="A85" s="67"/>
      <c r="B85" s="73"/>
      <c r="C85" s="73"/>
      <c r="D85" s="57" t="s">
        <v>31</v>
      </c>
      <c r="E85" s="58"/>
      <c r="F85" s="59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s="3" customFormat="1" x14ac:dyDescent="0.25">
      <c r="A86" s="67"/>
      <c r="B86" s="73"/>
      <c r="C86" s="73"/>
      <c r="D86" s="8" t="s">
        <v>6</v>
      </c>
      <c r="E86" s="15" t="s">
        <v>2</v>
      </c>
      <c r="F86" s="16">
        <f>80000+87815</f>
        <v>167815</v>
      </c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s="3" customFormat="1" x14ac:dyDescent="0.25">
      <c r="A87" s="67"/>
      <c r="B87" s="73"/>
      <c r="C87" s="73"/>
      <c r="D87" s="8" t="s">
        <v>3</v>
      </c>
      <c r="E87" s="15" t="s">
        <v>5</v>
      </c>
      <c r="F87" s="16">
        <f>500000+103721</f>
        <v>603721</v>
      </c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s="3" customFormat="1" ht="15.75" x14ac:dyDescent="0.25">
      <c r="A88" s="67"/>
      <c r="B88" s="73"/>
      <c r="C88" s="73"/>
      <c r="D88" s="8" t="s">
        <v>42</v>
      </c>
      <c r="E88" s="15" t="s">
        <v>20</v>
      </c>
      <c r="F88" s="16">
        <f>10000+4788</f>
        <v>14788</v>
      </c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s="3" customFormat="1" ht="28.5" customHeight="1" x14ac:dyDescent="0.25">
      <c r="A89" s="67"/>
      <c r="B89" s="73"/>
      <c r="C89" s="73"/>
      <c r="D89" s="57" t="s">
        <v>32</v>
      </c>
      <c r="E89" s="58"/>
      <c r="F89" s="59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s="3" customFormat="1" x14ac:dyDescent="0.25">
      <c r="A90" s="67"/>
      <c r="B90" s="73"/>
      <c r="C90" s="73"/>
      <c r="D90" s="41" t="s">
        <v>43</v>
      </c>
      <c r="E90" s="41"/>
      <c r="F90" s="41">
        <v>3234</v>
      </c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s="3" customFormat="1" x14ac:dyDescent="0.25">
      <c r="A91" s="67"/>
      <c r="B91" s="73"/>
      <c r="C91" s="73"/>
      <c r="D91" s="41" t="s">
        <v>44</v>
      </c>
      <c r="E91" s="41"/>
      <c r="F91" s="41">
        <v>4800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s="3" customFormat="1" x14ac:dyDescent="0.25">
      <c r="A92" s="67"/>
      <c r="B92" s="73"/>
      <c r="C92" s="73"/>
      <c r="D92" s="17" t="s">
        <v>21</v>
      </c>
      <c r="E92" s="4" t="s">
        <v>22</v>
      </c>
      <c r="F92" s="23">
        <v>86000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s="3" customFormat="1" x14ac:dyDescent="0.25">
      <c r="A93" s="67"/>
      <c r="B93" s="73"/>
      <c r="C93" s="73"/>
      <c r="D93" s="17" t="s">
        <v>23</v>
      </c>
      <c r="E93" s="18" t="s">
        <v>16</v>
      </c>
      <c r="F93" s="10">
        <v>4320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s="3" customFormat="1" ht="39" x14ac:dyDescent="0.25">
      <c r="A94" s="67"/>
      <c r="B94" s="73"/>
      <c r="C94" s="73"/>
      <c r="D94" s="38" t="s">
        <v>47</v>
      </c>
      <c r="E94" s="18"/>
      <c r="F94" s="10">
        <v>2880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s="3" customFormat="1" x14ac:dyDescent="0.25">
      <c r="A95" s="67"/>
      <c r="B95" s="73"/>
      <c r="C95" s="73"/>
      <c r="D95" s="17" t="s">
        <v>24</v>
      </c>
      <c r="E95" s="18"/>
      <c r="F95" s="10">
        <v>14160</v>
      </c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s="3" customFormat="1" x14ac:dyDescent="0.25">
      <c r="A96" s="67"/>
      <c r="B96" s="73"/>
      <c r="C96" s="73"/>
      <c r="D96" s="17" t="s">
        <v>45</v>
      </c>
      <c r="E96" s="18"/>
      <c r="F96" s="10">
        <v>35000</v>
      </c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3" customFormat="1" ht="26.25" x14ac:dyDescent="0.25">
      <c r="A97" s="67"/>
      <c r="B97" s="73"/>
      <c r="C97" s="73"/>
      <c r="D97" s="38" t="s">
        <v>46</v>
      </c>
      <c r="E97" s="18"/>
      <c r="F97" s="10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s="3" customFormat="1" ht="28.5" customHeight="1" x14ac:dyDescent="0.25">
      <c r="A98" s="67"/>
      <c r="B98" s="73"/>
      <c r="C98" s="73"/>
      <c r="D98" s="57" t="s">
        <v>34</v>
      </c>
      <c r="E98" s="58"/>
      <c r="F98" s="59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s="3" customFormat="1" ht="25.5" x14ac:dyDescent="0.25">
      <c r="A99" s="67"/>
      <c r="B99" s="73"/>
      <c r="C99" s="73"/>
      <c r="D99" s="17" t="s">
        <v>9</v>
      </c>
      <c r="E99" s="39" t="s">
        <v>18</v>
      </c>
      <c r="F99" s="23">
        <v>4</v>
      </c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s="3" customFormat="1" x14ac:dyDescent="0.25">
      <c r="A100" s="67"/>
      <c r="B100" s="73"/>
      <c r="C100" s="73"/>
      <c r="D100" s="57" t="s">
        <v>33</v>
      </c>
      <c r="E100" s="58"/>
      <c r="F100" s="59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s="3" customFormat="1" x14ac:dyDescent="0.25">
      <c r="A101" s="67"/>
      <c r="B101" s="73"/>
      <c r="C101" s="73"/>
      <c r="D101" s="20" t="s">
        <v>7</v>
      </c>
      <c r="E101" s="22" t="s">
        <v>25</v>
      </c>
      <c r="F101" s="23">
        <v>1</v>
      </c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s="3" customFormat="1" ht="31.5" customHeight="1" x14ac:dyDescent="0.25">
      <c r="A102" s="67"/>
      <c r="B102" s="73"/>
      <c r="C102" s="73"/>
      <c r="D102" s="60" t="s">
        <v>35</v>
      </c>
      <c r="E102" s="60"/>
      <c r="F102" s="60"/>
      <c r="G102" s="1"/>
      <c r="H102" s="31">
        <f>F82+F83+F86+F87+F88+F90+F91+F92+F93+F94+F95+F96+F104+F105+F107+F108+F109+F111+F112+F113</f>
        <v>3588663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s="3" customFormat="1" ht="26.25" x14ac:dyDescent="0.25">
      <c r="A103" s="67"/>
      <c r="B103" s="73"/>
      <c r="C103" s="73"/>
      <c r="D103" s="36" t="s">
        <v>41</v>
      </c>
      <c r="E103" s="18" t="s">
        <v>15</v>
      </c>
      <c r="F103" s="25">
        <v>47</v>
      </c>
      <c r="G103" s="1"/>
      <c r="H103" s="31">
        <f>F82+F83+F86+F87+F88+F90+F91+F92+F93+F94+F95+F96+F104+F105+F107+F109+F111+F112+F113</f>
        <v>3315663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s="3" customFormat="1" x14ac:dyDescent="0.25">
      <c r="A104" s="67"/>
      <c r="B104" s="73"/>
      <c r="C104" s="73"/>
      <c r="D104" s="6" t="s">
        <v>26</v>
      </c>
      <c r="E104" s="7" t="s">
        <v>8</v>
      </c>
      <c r="F104" s="34">
        <v>274900</v>
      </c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s="3" customFormat="1" x14ac:dyDescent="0.25">
      <c r="A105" s="67"/>
      <c r="B105" s="73"/>
      <c r="C105" s="73"/>
      <c r="D105" s="5" t="s">
        <v>27</v>
      </c>
      <c r="E105" s="7" t="s">
        <v>8</v>
      </c>
      <c r="F105" s="34">
        <v>83020</v>
      </c>
      <c r="G105" s="1"/>
      <c r="H105" s="31">
        <f>F82+F83+F86+F87+F88+F90+F91+F92+F93+F94+F95+F96+F97+F99+F101+F104+F105+F107+F108+F109+F110+F111+F112+F113</f>
        <v>3588668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s="3" customFormat="1" x14ac:dyDescent="0.25">
      <c r="A106" s="67"/>
      <c r="B106" s="73"/>
      <c r="C106" s="73"/>
      <c r="D106" s="60" t="s">
        <v>36</v>
      </c>
      <c r="E106" s="60"/>
      <c r="F106" s="60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s="3" customFormat="1" x14ac:dyDescent="0.25">
      <c r="A107" s="67"/>
      <c r="B107" s="73"/>
      <c r="C107" s="73"/>
      <c r="D107" s="26" t="s">
        <v>19</v>
      </c>
      <c r="E107" s="27" t="s">
        <v>8</v>
      </c>
      <c r="F107" s="29">
        <f>272906+150000</f>
        <v>422906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s="3" customFormat="1" x14ac:dyDescent="0.25">
      <c r="A108" s="67"/>
      <c r="B108" s="73"/>
      <c r="C108" s="73"/>
      <c r="D108" s="26" t="s">
        <v>50</v>
      </c>
      <c r="E108" s="27"/>
      <c r="F108" s="29">
        <v>273000</v>
      </c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s="3" customFormat="1" x14ac:dyDescent="0.25">
      <c r="A109" s="67"/>
      <c r="B109" s="73"/>
      <c r="C109" s="73"/>
      <c r="D109" s="26" t="s">
        <v>52</v>
      </c>
      <c r="E109" s="27"/>
      <c r="F109" s="29">
        <v>33000</v>
      </c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s="3" customFormat="1" ht="39" x14ac:dyDescent="0.25">
      <c r="A110" s="67"/>
      <c r="B110" s="73"/>
      <c r="C110" s="73"/>
      <c r="D110" s="26" t="s">
        <v>48</v>
      </c>
      <c r="E110" s="27"/>
      <c r="F110" s="29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s="3" customFormat="1" x14ac:dyDescent="0.25">
      <c r="A111" s="67"/>
      <c r="B111" s="73"/>
      <c r="C111" s="73"/>
      <c r="D111" s="26" t="s">
        <v>4</v>
      </c>
      <c r="E111" s="27" t="s">
        <v>17</v>
      </c>
      <c r="F111" s="29">
        <f>117527+5000</f>
        <v>122527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s="3" customFormat="1" ht="26.25" x14ac:dyDescent="0.25">
      <c r="A112" s="67"/>
      <c r="B112" s="73"/>
      <c r="C112" s="73"/>
      <c r="D112" s="26" t="s">
        <v>49</v>
      </c>
      <c r="E112" s="10" t="s">
        <v>8</v>
      </c>
      <c r="F112" s="29">
        <v>2000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s="3" customFormat="1" x14ac:dyDescent="0.25">
      <c r="A113" s="68"/>
      <c r="B113" s="74"/>
      <c r="C113" s="74"/>
      <c r="D113" s="26" t="s">
        <v>24</v>
      </c>
      <c r="E113" s="10" t="s">
        <v>8</v>
      </c>
      <c r="F113" s="29">
        <v>14160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s="3" customFormat="1" ht="18" customHeight="1" x14ac:dyDescent="0.25">
      <c r="A114" s="66" t="s">
        <v>94</v>
      </c>
      <c r="B114" s="75" t="s">
        <v>95</v>
      </c>
      <c r="C114" s="72" t="s">
        <v>55</v>
      </c>
      <c r="D114" s="57" t="s">
        <v>28</v>
      </c>
      <c r="E114" s="58"/>
      <c r="F114" s="59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s="3" customFormat="1" x14ac:dyDescent="0.25">
      <c r="A115" s="67"/>
      <c r="B115" s="76"/>
      <c r="C115" s="73"/>
      <c r="D115" s="60" t="s">
        <v>29</v>
      </c>
      <c r="E115" s="60"/>
      <c r="F115" s="60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s="3" customFormat="1" x14ac:dyDescent="0.25">
      <c r="A116" s="67"/>
      <c r="B116" s="76"/>
      <c r="C116" s="73"/>
      <c r="D116" s="14" t="s">
        <v>56</v>
      </c>
      <c r="E116" s="10" t="s">
        <v>15</v>
      </c>
      <c r="F116" s="10">
        <v>92.56</v>
      </c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3" customFormat="1" x14ac:dyDescent="0.25">
      <c r="A117" s="67"/>
      <c r="B117" s="76"/>
      <c r="C117" s="73"/>
      <c r="D117" s="6" t="s">
        <v>26</v>
      </c>
      <c r="E117" s="7" t="s">
        <v>8</v>
      </c>
      <c r="F117" s="33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s="3" customFormat="1" x14ac:dyDescent="0.25">
      <c r="A118" s="67"/>
      <c r="B118" s="76"/>
      <c r="C118" s="73"/>
      <c r="D118" s="5" t="s">
        <v>27</v>
      </c>
      <c r="E118" s="7" t="s">
        <v>8</v>
      </c>
      <c r="F118" s="3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s="3" customFormat="1" x14ac:dyDescent="0.25">
      <c r="A119" s="67"/>
      <c r="B119" s="76"/>
      <c r="C119" s="73"/>
      <c r="D119" s="57" t="s">
        <v>30</v>
      </c>
      <c r="E119" s="58"/>
      <c r="F119" s="59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s="3" customFormat="1" x14ac:dyDescent="0.25">
      <c r="A120" s="67"/>
      <c r="B120" s="76"/>
      <c r="C120" s="73"/>
      <c r="D120" s="57" t="s">
        <v>31</v>
      </c>
      <c r="E120" s="58"/>
      <c r="F120" s="59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s="3" customFormat="1" x14ac:dyDescent="0.25">
      <c r="A121" s="67"/>
      <c r="B121" s="76"/>
      <c r="C121" s="73"/>
      <c r="D121" s="8" t="s">
        <v>6</v>
      </c>
      <c r="E121" s="15" t="s">
        <v>2</v>
      </c>
      <c r="F121" s="16">
        <f>37303+32879+15262</f>
        <v>85444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s="3" customFormat="1" x14ac:dyDescent="0.25">
      <c r="A122" s="67"/>
      <c r="B122" s="76"/>
      <c r="C122" s="73"/>
      <c r="D122" s="8" t="s">
        <v>3</v>
      </c>
      <c r="E122" s="15" t="s">
        <v>5</v>
      </c>
      <c r="F122" s="16">
        <f>37879+249250+243016</f>
        <v>530145</v>
      </c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s="3" customFormat="1" x14ac:dyDescent="0.25">
      <c r="A123" s="67"/>
      <c r="B123" s="76"/>
      <c r="C123" s="73"/>
      <c r="D123" s="8" t="s">
        <v>42</v>
      </c>
      <c r="E123" s="15">
        <v>1596</v>
      </c>
      <c r="F123" s="16">
        <f>1151+1440+131</f>
        <v>2722</v>
      </c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s="3" customFormat="1" ht="31.5" customHeight="1" x14ac:dyDescent="0.25">
      <c r="A124" s="67"/>
      <c r="B124" s="76"/>
      <c r="C124" s="73"/>
      <c r="D124" s="57" t="s">
        <v>32</v>
      </c>
      <c r="E124" s="58"/>
      <c r="F124" s="59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s="3" customFormat="1" x14ac:dyDescent="0.25">
      <c r="A125" s="67"/>
      <c r="B125" s="76"/>
      <c r="C125" s="73"/>
      <c r="D125" s="41" t="s">
        <v>43</v>
      </c>
      <c r="E125" s="41"/>
      <c r="F125" s="41"/>
      <c r="G125" s="1"/>
      <c r="H125" s="31">
        <f>F121+F122+F123+F127+F139+F140+F146</f>
        <v>2323177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s="3" customFormat="1" x14ac:dyDescent="0.25">
      <c r="A126" s="67"/>
      <c r="B126" s="76"/>
      <c r="C126" s="73"/>
      <c r="D126" s="41" t="s">
        <v>44</v>
      </c>
      <c r="E126" s="41"/>
      <c r="F126" s="41"/>
      <c r="G126" s="1"/>
      <c r="H126" s="31">
        <f>F121+F122+F123+F127+F139+F140+F146</f>
        <v>2323177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s="3" customFormat="1" x14ac:dyDescent="0.25">
      <c r="A127" s="67"/>
      <c r="B127" s="76"/>
      <c r="C127" s="73"/>
      <c r="D127" s="17" t="s">
        <v>21</v>
      </c>
      <c r="E127" s="4" t="s">
        <v>22</v>
      </c>
      <c r="F127" s="23">
        <f>35000+35000+15000</f>
        <v>85000</v>
      </c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s="3" customFormat="1" x14ac:dyDescent="0.25">
      <c r="A128" s="67"/>
      <c r="B128" s="76"/>
      <c r="C128" s="73"/>
      <c r="D128" s="17" t="s">
        <v>23</v>
      </c>
      <c r="E128" s="18" t="s">
        <v>16</v>
      </c>
      <c r="F128" s="10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s="3" customFormat="1" ht="39" x14ac:dyDescent="0.25">
      <c r="A129" s="67"/>
      <c r="B129" s="76"/>
      <c r="C129" s="73"/>
      <c r="D129" s="38" t="s">
        <v>47</v>
      </c>
      <c r="E129" s="18"/>
      <c r="F129" s="10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s="3" customFormat="1" x14ac:dyDescent="0.25">
      <c r="A130" s="67"/>
      <c r="B130" s="76"/>
      <c r="C130" s="73"/>
      <c r="D130" s="17" t="s">
        <v>24</v>
      </c>
      <c r="E130" s="18"/>
      <c r="F130" s="10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s="3" customFormat="1" x14ac:dyDescent="0.25">
      <c r="A131" s="67"/>
      <c r="B131" s="76"/>
      <c r="C131" s="73"/>
      <c r="D131" s="17" t="s">
        <v>45</v>
      </c>
      <c r="E131" s="18"/>
      <c r="F131" s="10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s="3" customFormat="1" ht="26.25" x14ac:dyDescent="0.25">
      <c r="A132" s="67"/>
      <c r="B132" s="76"/>
      <c r="C132" s="73"/>
      <c r="D132" s="38" t="s">
        <v>46</v>
      </c>
      <c r="E132" s="18"/>
      <c r="F132" s="10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s="3" customFormat="1" ht="31.5" customHeight="1" x14ac:dyDescent="0.25">
      <c r="A133" s="67"/>
      <c r="B133" s="76"/>
      <c r="C133" s="73"/>
      <c r="D133" s="57" t="s">
        <v>34</v>
      </c>
      <c r="E133" s="58"/>
      <c r="F133" s="59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s="3" customFormat="1" x14ac:dyDescent="0.25">
      <c r="A134" s="67"/>
      <c r="B134" s="76"/>
      <c r="C134" s="73"/>
      <c r="D134" s="17" t="s">
        <v>9</v>
      </c>
      <c r="E134" s="19" t="s">
        <v>18</v>
      </c>
      <c r="F134" s="23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s="3" customFormat="1" x14ac:dyDescent="0.25">
      <c r="A135" s="67"/>
      <c r="B135" s="76"/>
      <c r="C135" s="73"/>
      <c r="D135" s="57" t="s">
        <v>33</v>
      </c>
      <c r="E135" s="58"/>
      <c r="F135" s="59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s="3" customFormat="1" x14ac:dyDescent="0.25">
      <c r="A136" s="67"/>
      <c r="B136" s="76"/>
      <c r="C136" s="73"/>
      <c r="D136" s="20" t="s">
        <v>7</v>
      </c>
      <c r="E136" s="22" t="s">
        <v>25</v>
      </c>
      <c r="F136" s="23"/>
      <c r="G136" s="1"/>
      <c r="H136" s="3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3" customFormat="1" ht="33.75" customHeight="1" x14ac:dyDescent="0.25">
      <c r="A137" s="67"/>
      <c r="B137" s="76"/>
      <c r="C137" s="73"/>
      <c r="D137" s="60" t="s">
        <v>35</v>
      </c>
      <c r="E137" s="60"/>
      <c r="F137" s="60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s="3" customFormat="1" ht="26.25" x14ac:dyDescent="0.25">
      <c r="A138" s="67"/>
      <c r="B138" s="76"/>
      <c r="C138" s="73"/>
      <c r="D138" s="36" t="s">
        <v>41</v>
      </c>
      <c r="E138" s="18" t="s">
        <v>15</v>
      </c>
      <c r="F138" s="25">
        <v>47</v>
      </c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s="3" customFormat="1" x14ac:dyDescent="0.25">
      <c r="A139" s="67"/>
      <c r="B139" s="76"/>
      <c r="C139" s="73"/>
      <c r="D139" s="6" t="s">
        <v>26</v>
      </c>
      <c r="E139" s="7" t="s">
        <v>8</v>
      </c>
      <c r="F139" s="34">
        <f>3621+36941+31871</f>
        <v>72433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s="3" customFormat="1" x14ac:dyDescent="0.25">
      <c r="A140" s="67"/>
      <c r="B140" s="76"/>
      <c r="C140" s="73"/>
      <c r="D140" s="5" t="s">
        <v>27</v>
      </c>
      <c r="E140" s="7" t="s">
        <v>8</v>
      </c>
      <c r="F140" s="34">
        <f>9624+11155+1095</f>
        <v>21874</v>
      </c>
      <c r="G140" s="1"/>
      <c r="H140" s="1"/>
      <c r="I140" s="1"/>
      <c r="J140" s="1"/>
      <c r="K140" s="1"/>
      <c r="L140" s="1"/>
      <c r="M140" s="1"/>
      <c r="N140" s="31" t="e">
        <f>H126+#REF!+#REF!</f>
        <v>#REF!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3" customFormat="1" x14ac:dyDescent="0.25">
      <c r="A141" s="67"/>
      <c r="B141" s="76"/>
      <c r="C141" s="73"/>
      <c r="D141" s="60" t="s">
        <v>36</v>
      </c>
      <c r="E141" s="60"/>
      <c r="F141" s="60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s="3" customFormat="1" x14ac:dyDescent="0.25">
      <c r="A142" s="67"/>
      <c r="B142" s="76"/>
      <c r="C142" s="73"/>
      <c r="D142" s="26" t="s">
        <v>19</v>
      </c>
      <c r="E142" s="27" t="s">
        <v>8</v>
      </c>
      <c r="F142" s="29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s="3" customFormat="1" x14ac:dyDescent="0.25">
      <c r="A143" s="67"/>
      <c r="B143" s="76"/>
      <c r="C143" s="73"/>
      <c r="D143" s="26" t="s">
        <v>50</v>
      </c>
      <c r="E143" s="27"/>
      <c r="F143" s="29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s="3" customFormat="1" ht="26.25" x14ac:dyDescent="0.25">
      <c r="A144" s="67"/>
      <c r="B144" s="76"/>
      <c r="C144" s="73"/>
      <c r="D144" s="26" t="s">
        <v>53</v>
      </c>
      <c r="E144" s="27"/>
      <c r="F144" s="29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s="3" customFormat="1" ht="39" x14ac:dyDescent="0.25">
      <c r="A145" s="67"/>
      <c r="B145" s="76"/>
      <c r="C145" s="73"/>
      <c r="D145" s="26" t="s">
        <v>48</v>
      </c>
      <c r="E145" s="27"/>
      <c r="F145" s="29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s="3" customFormat="1" x14ac:dyDescent="0.25">
      <c r="A146" s="67"/>
      <c r="B146" s="76"/>
      <c r="C146" s="73"/>
      <c r="D146" s="26" t="s">
        <v>62</v>
      </c>
      <c r="E146" s="10" t="s">
        <v>8</v>
      </c>
      <c r="F146" s="29">
        <f>76408+776753+672398</f>
        <v>1525559</v>
      </c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s="3" customFormat="1" ht="26.25" x14ac:dyDescent="0.25">
      <c r="A147" s="67"/>
      <c r="B147" s="76"/>
      <c r="C147" s="73"/>
      <c r="D147" s="26" t="s">
        <v>49</v>
      </c>
      <c r="E147" s="10" t="s">
        <v>8</v>
      </c>
      <c r="F147" s="29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s="3" customFormat="1" x14ac:dyDescent="0.25">
      <c r="A148" s="68"/>
      <c r="B148" s="77"/>
      <c r="C148" s="74"/>
      <c r="D148" s="26" t="s">
        <v>24</v>
      </c>
      <c r="E148" s="10" t="s">
        <v>8</v>
      </c>
      <c r="F148" s="29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3" customFormat="1" ht="30.75" customHeight="1" x14ac:dyDescent="0.25">
      <c r="A149" s="66" t="s">
        <v>65</v>
      </c>
      <c r="B149" s="72" t="s">
        <v>96</v>
      </c>
      <c r="C149" s="72" t="s">
        <v>55</v>
      </c>
      <c r="D149" s="57" t="s">
        <v>28</v>
      </c>
      <c r="E149" s="58"/>
      <c r="F149" s="59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s="3" customFormat="1" x14ac:dyDescent="0.25">
      <c r="A150" s="67"/>
      <c r="B150" s="73"/>
      <c r="C150" s="73"/>
      <c r="D150" s="60" t="s">
        <v>29</v>
      </c>
      <c r="E150" s="60"/>
      <c r="F150" s="60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s="3" customFormat="1" x14ac:dyDescent="0.25">
      <c r="A151" s="67"/>
      <c r="B151" s="73"/>
      <c r="C151" s="73"/>
      <c r="D151" s="14" t="s">
        <v>40</v>
      </c>
      <c r="E151" s="10" t="s">
        <v>15</v>
      </c>
      <c r="F151" s="10">
        <v>92.56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s="3" customFormat="1" x14ac:dyDescent="0.25">
      <c r="A152" s="67"/>
      <c r="B152" s="73"/>
      <c r="C152" s="73"/>
      <c r="D152" s="6" t="s">
        <v>26</v>
      </c>
      <c r="E152" s="7" t="s">
        <v>8</v>
      </c>
      <c r="F152" s="33">
        <v>768534</v>
      </c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s="3" customFormat="1" x14ac:dyDescent="0.25">
      <c r="A153" s="67"/>
      <c r="B153" s="73"/>
      <c r="C153" s="73"/>
      <c r="D153" s="5" t="s">
        <v>27</v>
      </c>
      <c r="E153" s="7" t="s">
        <v>8</v>
      </c>
      <c r="F153" s="34">
        <v>232097</v>
      </c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s="3" customFormat="1" x14ac:dyDescent="0.25">
      <c r="A154" s="67"/>
      <c r="B154" s="73"/>
      <c r="C154" s="73"/>
      <c r="D154" s="57" t="s">
        <v>30</v>
      </c>
      <c r="E154" s="58"/>
      <c r="F154" s="59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s="3" customFormat="1" x14ac:dyDescent="0.25">
      <c r="A155" s="67"/>
      <c r="B155" s="73"/>
      <c r="C155" s="73"/>
      <c r="D155" s="57" t="s">
        <v>31</v>
      </c>
      <c r="E155" s="58"/>
      <c r="F155" s="59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s="3" customFormat="1" x14ac:dyDescent="0.25">
      <c r="A156" s="67"/>
      <c r="B156" s="73"/>
      <c r="C156" s="73"/>
      <c r="D156" s="8" t="s">
        <v>6</v>
      </c>
      <c r="E156" s="15" t="s">
        <v>2</v>
      </c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s="3" customFormat="1" x14ac:dyDescent="0.25">
      <c r="A157" s="67"/>
      <c r="B157" s="73"/>
      <c r="C157" s="73"/>
      <c r="D157" s="8" t="s">
        <v>3</v>
      </c>
      <c r="E157" s="15" t="s">
        <v>5</v>
      </c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s="3" customFormat="1" ht="15.75" x14ac:dyDescent="0.25">
      <c r="A158" s="67"/>
      <c r="B158" s="73"/>
      <c r="C158" s="73"/>
      <c r="D158" s="8" t="s">
        <v>42</v>
      </c>
      <c r="E158" s="15" t="s">
        <v>20</v>
      </c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s="3" customFormat="1" ht="37.5" customHeight="1" x14ac:dyDescent="0.25">
      <c r="A159" s="67"/>
      <c r="B159" s="73"/>
      <c r="C159" s="73"/>
      <c r="D159" s="57" t="s">
        <v>32</v>
      </c>
      <c r="E159" s="58"/>
      <c r="F159" s="59"/>
      <c r="G159" s="1"/>
      <c r="H159" s="31">
        <f>F152+F153+F156+F157+F158+F160+F161+F162+F163+F164+F165+F166+F167+F169+F171+F174+F175+F177+F178+F179+F180+F181+F182+F183</f>
        <v>1149777.47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s="3" customFormat="1" x14ac:dyDescent="0.25">
      <c r="A160" s="67"/>
      <c r="B160" s="73"/>
      <c r="C160" s="73"/>
      <c r="D160" s="41" t="s">
        <v>43</v>
      </c>
      <c r="E160" s="41"/>
      <c r="F160" s="4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s="3" customFormat="1" x14ac:dyDescent="0.25">
      <c r="A161" s="67"/>
      <c r="B161" s="73"/>
      <c r="C161" s="73"/>
      <c r="D161" s="41" t="s">
        <v>44</v>
      </c>
      <c r="E161" s="41"/>
      <c r="F161" s="41"/>
      <c r="G161" s="1"/>
      <c r="H161" s="31">
        <f>F152+F153+F174+F175</f>
        <v>1149763.47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s="3" customFormat="1" x14ac:dyDescent="0.25">
      <c r="A162" s="67"/>
      <c r="B162" s="73"/>
      <c r="C162" s="73"/>
      <c r="D162" s="17" t="s">
        <v>21</v>
      </c>
      <c r="E162" s="4" t="s">
        <v>22</v>
      </c>
      <c r="F162" s="23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s="3" customFormat="1" x14ac:dyDescent="0.25">
      <c r="A163" s="67"/>
      <c r="B163" s="73"/>
      <c r="C163" s="73"/>
      <c r="D163" s="17" t="s">
        <v>23</v>
      </c>
      <c r="E163" s="18" t="s">
        <v>16</v>
      </c>
      <c r="F163" s="10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s="3" customFormat="1" ht="39" x14ac:dyDescent="0.25">
      <c r="A164" s="67"/>
      <c r="B164" s="73"/>
      <c r="C164" s="73"/>
      <c r="D164" s="38" t="s">
        <v>47</v>
      </c>
      <c r="E164" s="18"/>
      <c r="F164" s="10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s="3" customFormat="1" x14ac:dyDescent="0.25">
      <c r="A165" s="67"/>
      <c r="B165" s="73"/>
      <c r="C165" s="73"/>
      <c r="D165" s="17" t="s">
        <v>24</v>
      </c>
      <c r="E165" s="18"/>
      <c r="F165" s="10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s="3" customFormat="1" x14ac:dyDescent="0.25">
      <c r="A166" s="67"/>
      <c r="B166" s="73"/>
      <c r="C166" s="73"/>
      <c r="D166" s="17" t="s">
        <v>45</v>
      </c>
      <c r="E166" s="18"/>
      <c r="F166" s="10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s="3" customFormat="1" ht="26.25" x14ac:dyDescent="0.25">
      <c r="A167" s="67"/>
      <c r="B167" s="73"/>
      <c r="C167" s="73"/>
      <c r="D167" s="38" t="s">
        <v>46</v>
      </c>
      <c r="E167" s="18"/>
      <c r="F167" s="10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s="3" customFormat="1" ht="26.25" customHeight="1" x14ac:dyDescent="0.25">
      <c r="A168" s="67"/>
      <c r="B168" s="73"/>
      <c r="C168" s="73"/>
      <c r="D168" s="57" t="s">
        <v>34</v>
      </c>
      <c r="E168" s="58"/>
      <c r="F168" s="59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3" customFormat="1" x14ac:dyDescent="0.25">
      <c r="A169" s="67"/>
      <c r="B169" s="73"/>
      <c r="C169" s="73"/>
      <c r="D169" s="17" t="s">
        <v>9</v>
      </c>
      <c r="E169" s="19" t="s">
        <v>18</v>
      </c>
      <c r="F169" s="23">
        <v>9</v>
      </c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s="3" customFormat="1" x14ac:dyDescent="0.25">
      <c r="A170" s="67"/>
      <c r="B170" s="73"/>
      <c r="C170" s="73"/>
      <c r="D170" s="57" t="s">
        <v>33</v>
      </c>
      <c r="E170" s="58"/>
      <c r="F170" s="59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s="3" customFormat="1" x14ac:dyDescent="0.25">
      <c r="A171" s="67"/>
      <c r="B171" s="73"/>
      <c r="C171" s="73"/>
      <c r="D171" s="20" t="s">
        <v>7</v>
      </c>
      <c r="E171" s="22" t="s">
        <v>25</v>
      </c>
      <c r="F171" s="23">
        <v>5</v>
      </c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s="3" customFormat="1" ht="26.25" customHeight="1" x14ac:dyDescent="0.25">
      <c r="A172" s="67"/>
      <c r="B172" s="73"/>
      <c r="C172" s="73"/>
      <c r="D172" s="60" t="s">
        <v>35</v>
      </c>
      <c r="E172" s="60"/>
      <c r="F172" s="60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6" s="3" customFormat="1" ht="26.25" x14ac:dyDescent="0.25">
      <c r="A173" s="67"/>
      <c r="B173" s="73"/>
      <c r="C173" s="73"/>
      <c r="D173" s="36" t="s">
        <v>41</v>
      </c>
      <c r="E173" s="18" t="s">
        <v>15</v>
      </c>
      <c r="F173" s="25">
        <v>47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6" s="3" customFormat="1" x14ac:dyDescent="0.25">
      <c r="A174" s="67"/>
      <c r="B174" s="73"/>
      <c r="C174" s="73"/>
      <c r="D174" s="6" t="s">
        <v>26</v>
      </c>
      <c r="E174" s="7" t="s">
        <v>8</v>
      </c>
      <c r="F174" s="34">
        <f>114542-1.53</f>
        <v>114540.47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6" s="3" customFormat="1" x14ac:dyDescent="0.25">
      <c r="A175" s="67"/>
      <c r="B175" s="73"/>
      <c r="C175" s="73"/>
      <c r="D175" s="5" t="s">
        <v>27</v>
      </c>
      <c r="E175" s="7" t="s">
        <v>8</v>
      </c>
      <c r="F175" s="34">
        <v>34592</v>
      </c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6" s="3" customFormat="1" x14ac:dyDescent="0.25">
      <c r="A176" s="67"/>
      <c r="B176" s="73"/>
      <c r="C176" s="73"/>
      <c r="D176" s="60" t="s">
        <v>36</v>
      </c>
      <c r="E176" s="60"/>
      <c r="F176" s="60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s="3" customFormat="1" x14ac:dyDescent="0.25">
      <c r="A177" s="67"/>
      <c r="B177" s="73"/>
      <c r="C177" s="73"/>
      <c r="D177" s="26" t="s">
        <v>19</v>
      </c>
      <c r="E177" s="27" t="s">
        <v>8</v>
      </c>
      <c r="F177" s="29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s="3" customFormat="1" x14ac:dyDescent="0.25">
      <c r="A178" s="67"/>
      <c r="B178" s="73"/>
      <c r="C178" s="73"/>
      <c r="D178" s="26" t="s">
        <v>50</v>
      </c>
      <c r="E178" s="27"/>
      <c r="F178" s="29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s="3" customFormat="1" ht="26.25" x14ac:dyDescent="0.25">
      <c r="A179" s="67"/>
      <c r="B179" s="73"/>
      <c r="C179" s="73"/>
      <c r="D179" s="26" t="s">
        <v>53</v>
      </c>
      <c r="E179" s="27"/>
      <c r="F179" s="29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s="3" customFormat="1" ht="39" x14ac:dyDescent="0.25">
      <c r="A180" s="67"/>
      <c r="B180" s="73"/>
      <c r="C180" s="73"/>
      <c r="D180" s="26" t="s">
        <v>48</v>
      </c>
      <c r="E180" s="27"/>
      <c r="F180" s="29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s="3" customFormat="1" x14ac:dyDescent="0.25">
      <c r="A181" s="67"/>
      <c r="B181" s="73"/>
      <c r="C181" s="73"/>
      <c r="D181" s="26" t="s">
        <v>4</v>
      </c>
      <c r="E181" s="27" t="s">
        <v>17</v>
      </c>
      <c r="F181" s="29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s="3" customFormat="1" ht="26.25" x14ac:dyDescent="0.25">
      <c r="A182" s="67"/>
      <c r="B182" s="73"/>
      <c r="C182" s="73"/>
      <c r="D182" s="26" t="s">
        <v>49</v>
      </c>
      <c r="E182" s="10" t="s">
        <v>8</v>
      </c>
      <c r="F182" s="29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s="3" customFormat="1" x14ac:dyDescent="0.25">
      <c r="A183" s="68"/>
      <c r="B183" s="74"/>
      <c r="C183" s="74"/>
      <c r="D183" s="26" t="s">
        <v>24</v>
      </c>
      <c r="E183" s="10" t="s">
        <v>8</v>
      </c>
      <c r="F183" s="29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s="3" customFormat="1" ht="21.75" customHeight="1" x14ac:dyDescent="0.25">
      <c r="A184" s="66" t="s">
        <v>78</v>
      </c>
      <c r="B184" s="72" t="s">
        <v>97</v>
      </c>
      <c r="C184" s="72" t="s">
        <v>55</v>
      </c>
      <c r="D184" s="57" t="s">
        <v>28</v>
      </c>
      <c r="E184" s="58"/>
      <c r="F184" s="59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s="3" customFormat="1" x14ac:dyDescent="0.25">
      <c r="A185" s="67"/>
      <c r="B185" s="73"/>
      <c r="C185" s="73"/>
      <c r="D185" s="60" t="s">
        <v>29</v>
      </c>
      <c r="E185" s="60"/>
      <c r="F185" s="60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s="3" customFormat="1" x14ac:dyDescent="0.25">
      <c r="A186" s="67"/>
      <c r="B186" s="73"/>
      <c r="C186" s="73"/>
      <c r="D186" s="14" t="s">
        <v>40</v>
      </c>
      <c r="E186" s="10" t="s">
        <v>15</v>
      </c>
      <c r="F186" s="10">
        <v>92.56</v>
      </c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s="3" customFormat="1" x14ac:dyDescent="0.25">
      <c r="A187" s="67"/>
      <c r="B187" s="73"/>
      <c r="C187" s="73"/>
      <c r="D187" s="6" t="s">
        <v>26</v>
      </c>
      <c r="E187" s="7" t="s">
        <v>8</v>
      </c>
      <c r="F187" s="33">
        <v>353234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s="3" customFormat="1" x14ac:dyDescent="0.25">
      <c r="A188" s="67"/>
      <c r="B188" s="73"/>
      <c r="C188" s="73"/>
      <c r="D188" s="5" t="s">
        <v>27</v>
      </c>
      <c r="E188" s="7" t="s">
        <v>8</v>
      </c>
      <c r="F188" s="34">
        <v>106676</v>
      </c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s="3" customFormat="1" x14ac:dyDescent="0.25">
      <c r="A189" s="67"/>
      <c r="B189" s="73"/>
      <c r="C189" s="73"/>
      <c r="D189" s="57" t="s">
        <v>30</v>
      </c>
      <c r="E189" s="58"/>
      <c r="F189" s="59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s="3" customFormat="1" x14ac:dyDescent="0.25">
      <c r="A190" s="67"/>
      <c r="B190" s="73"/>
      <c r="C190" s="73"/>
      <c r="D190" s="57" t="s">
        <v>31</v>
      </c>
      <c r="E190" s="58"/>
      <c r="F190" s="59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s="3" customFormat="1" x14ac:dyDescent="0.25">
      <c r="A191" s="67"/>
      <c r="B191" s="73"/>
      <c r="C191" s="73"/>
      <c r="D191" s="8" t="s">
        <v>6</v>
      </c>
      <c r="E191" s="15" t="s">
        <v>2</v>
      </c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s="3" customFormat="1" x14ac:dyDescent="0.25">
      <c r="A192" s="67"/>
      <c r="B192" s="73"/>
      <c r="C192" s="73"/>
      <c r="D192" s="8" t="s">
        <v>3</v>
      </c>
      <c r="E192" s="15" t="s">
        <v>5</v>
      </c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s="3" customFormat="1" ht="15.75" x14ac:dyDescent="0.25">
      <c r="A193" s="67"/>
      <c r="B193" s="73"/>
      <c r="C193" s="73"/>
      <c r="D193" s="8" t="s">
        <v>42</v>
      </c>
      <c r="E193" s="15" t="s">
        <v>20</v>
      </c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s="3" customFormat="1" ht="30.75" customHeight="1" x14ac:dyDescent="0.25">
      <c r="A194" s="67"/>
      <c r="B194" s="73"/>
      <c r="C194" s="73"/>
      <c r="D194" s="57" t="s">
        <v>32</v>
      </c>
      <c r="E194" s="58"/>
      <c r="F194" s="59"/>
      <c r="G194" s="1"/>
      <c r="H194" s="31">
        <f>F187+F188</f>
        <v>459910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s="3" customFormat="1" x14ac:dyDescent="0.25">
      <c r="A195" s="67"/>
      <c r="B195" s="73"/>
      <c r="C195" s="73"/>
      <c r="D195" s="41" t="s">
        <v>43</v>
      </c>
      <c r="E195" s="41"/>
      <c r="F195" s="4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s="3" customFormat="1" x14ac:dyDescent="0.25">
      <c r="A196" s="67"/>
      <c r="B196" s="73"/>
      <c r="C196" s="73"/>
      <c r="D196" s="41" t="s">
        <v>44</v>
      </c>
      <c r="E196" s="41"/>
      <c r="F196" s="4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s="3" customFormat="1" x14ac:dyDescent="0.25">
      <c r="A197" s="67"/>
      <c r="B197" s="73"/>
      <c r="C197" s="73"/>
      <c r="D197" s="17" t="s">
        <v>21</v>
      </c>
      <c r="E197" s="4" t="s">
        <v>22</v>
      </c>
      <c r="F197" s="23"/>
      <c r="G197" s="1"/>
      <c r="H197" s="31">
        <f>F187+F188</f>
        <v>459910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s="3" customFormat="1" x14ac:dyDescent="0.25">
      <c r="A198" s="67"/>
      <c r="B198" s="73"/>
      <c r="C198" s="73"/>
      <c r="D198" s="17" t="s">
        <v>23</v>
      </c>
      <c r="E198" s="18" t="s">
        <v>16</v>
      </c>
      <c r="F198" s="10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s="3" customFormat="1" ht="39" x14ac:dyDescent="0.25">
      <c r="A199" s="67"/>
      <c r="B199" s="73"/>
      <c r="C199" s="73"/>
      <c r="D199" s="38" t="s">
        <v>47</v>
      </c>
      <c r="E199" s="18"/>
      <c r="F199" s="10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s="3" customFormat="1" x14ac:dyDescent="0.25">
      <c r="A200" s="67"/>
      <c r="B200" s="73"/>
      <c r="C200" s="73"/>
      <c r="D200" s="17" t="s">
        <v>24</v>
      </c>
      <c r="E200" s="18"/>
      <c r="F200" s="10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s="3" customFormat="1" x14ac:dyDescent="0.25">
      <c r="A201" s="67"/>
      <c r="B201" s="73"/>
      <c r="C201" s="73"/>
      <c r="D201" s="17" t="s">
        <v>45</v>
      </c>
      <c r="E201" s="18"/>
      <c r="F201" s="10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s="3" customFormat="1" ht="26.25" x14ac:dyDescent="0.25">
      <c r="A202" s="67"/>
      <c r="B202" s="73"/>
      <c r="C202" s="73"/>
      <c r="D202" s="38" t="s">
        <v>46</v>
      </c>
      <c r="E202" s="18"/>
      <c r="F202" s="10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s="3" customFormat="1" ht="29.25" customHeight="1" x14ac:dyDescent="0.25">
      <c r="A203" s="67"/>
      <c r="B203" s="73"/>
      <c r="C203" s="73"/>
      <c r="D203" s="57" t="s">
        <v>34</v>
      </c>
      <c r="E203" s="58"/>
      <c r="F203" s="59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s="3" customFormat="1" x14ac:dyDescent="0.25">
      <c r="A204" s="67"/>
      <c r="B204" s="73"/>
      <c r="C204" s="73"/>
      <c r="D204" s="17" t="s">
        <v>9</v>
      </c>
      <c r="E204" s="19" t="s">
        <v>18</v>
      </c>
      <c r="F204" s="23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s="3" customFormat="1" x14ac:dyDescent="0.25">
      <c r="A205" s="67"/>
      <c r="B205" s="73"/>
      <c r="C205" s="73"/>
      <c r="D205" s="57" t="s">
        <v>33</v>
      </c>
      <c r="E205" s="58"/>
      <c r="F205" s="59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s="3" customFormat="1" x14ac:dyDescent="0.25">
      <c r="A206" s="67"/>
      <c r="B206" s="73"/>
      <c r="C206" s="73"/>
      <c r="D206" s="20" t="s">
        <v>7</v>
      </c>
      <c r="E206" s="22" t="s">
        <v>25</v>
      </c>
      <c r="F206" s="23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s="3" customFormat="1" ht="28.5" customHeight="1" x14ac:dyDescent="0.25">
      <c r="A207" s="67"/>
      <c r="B207" s="73"/>
      <c r="C207" s="73"/>
      <c r="D207" s="60" t="s">
        <v>35</v>
      </c>
      <c r="E207" s="60"/>
      <c r="F207" s="60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s="3" customFormat="1" ht="26.25" x14ac:dyDescent="0.25">
      <c r="A208" s="67"/>
      <c r="B208" s="73"/>
      <c r="C208" s="73"/>
      <c r="D208" s="36" t="s">
        <v>41</v>
      </c>
      <c r="E208" s="18" t="s">
        <v>15</v>
      </c>
      <c r="F208" s="25">
        <v>10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s="3" customFormat="1" x14ac:dyDescent="0.25">
      <c r="A209" s="67"/>
      <c r="B209" s="73"/>
      <c r="C209" s="73"/>
      <c r="D209" s="24" t="s">
        <v>37</v>
      </c>
      <c r="E209" s="18" t="s">
        <v>38</v>
      </c>
      <c r="F209" s="25">
        <v>1974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s="3" customFormat="1" x14ac:dyDescent="0.25">
      <c r="A210" s="67"/>
      <c r="B210" s="73"/>
      <c r="C210" s="73"/>
      <c r="D210" s="6" t="s">
        <v>26</v>
      </c>
      <c r="E210" s="7" t="s">
        <v>8</v>
      </c>
      <c r="F210" s="34">
        <f>G208</f>
        <v>0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s="3" customFormat="1" x14ac:dyDescent="0.25">
      <c r="A211" s="67"/>
      <c r="B211" s="73"/>
      <c r="C211" s="73"/>
      <c r="D211" s="5" t="s">
        <v>27</v>
      </c>
      <c r="E211" s="7" t="s">
        <v>8</v>
      </c>
      <c r="F211" s="34">
        <f>G210</f>
        <v>0</v>
      </c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s="3" customFormat="1" x14ac:dyDescent="0.25">
      <c r="A212" s="67"/>
      <c r="B212" s="73"/>
      <c r="C212" s="73"/>
      <c r="D212" s="60" t="s">
        <v>36</v>
      </c>
      <c r="E212" s="60"/>
      <c r="F212" s="60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s="3" customFormat="1" x14ac:dyDescent="0.25">
      <c r="A213" s="67"/>
      <c r="B213" s="73"/>
      <c r="C213" s="73"/>
      <c r="D213" s="26" t="s">
        <v>19</v>
      </c>
      <c r="E213" s="27" t="s">
        <v>8</v>
      </c>
      <c r="F213" s="29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s="3" customFormat="1" x14ac:dyDescent="0.25">
      <c r="A214" s="67"/>
      <c r="B214" s="73"/>
      <c r="C214" s="73"/>
      <c r="D214" s="26" t="s">
        <v>50</v>
      </c>
      <c r="E214" s="27"/>
      <c r="F214" s="29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s="3" customFormat="1" x14ac:dyDescent="0.25">
      <c r="A215" s="67"/>
      <c r="B215" s="73"/>
      <c r="C215" s="73"/>
      <c r="D215" s="26" t="s">
        <v>54</v>
      </c>
      <c r="E215" s="27"/>
      <c r="F215" s="29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s="3" customFormat="1" ht="39" x14ac:dyDescent="0.25">
      <c r="A216" s="67"/>
      <c r="B216" s="73"/>
      <c r="C216" s="73"/>
      <c r="D216" s="26" t="s">
        <v>48</v>
      </c>
      <c r="E216" s="27"/>
      <c r="F216" s="29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s="3" customFormat="1" x14ac:dyDescent="0.25">
      <c r="A217" s="67"/>
      <c r="B217" s="73"/>
      <c r="C217" s="73"/>
      <c r="D217" s="26" t="s">
        <v>4</v>
      </c>
      <c r="E217" s="27" t="s">
        <v>17</v>
      </c>
      <c r="F217" s="29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s="3" customFormat="1" ht="26.25" x14ac:dyDescent="0.25">
      <c r="A218" s="67"/>
      <c r="B218" s="73"/>
      <c r="C218" s="73"/>
      <c r="D218" s="26" t="s">
        <v>49</v>
      </c>
      <c r="E218" s="10" t="s">
        <v>8</v>
      </c>
      <c r="F218" s="29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s="3" customFormat="1" x14ac:dyDescent="0.25">
      <c r="A219" s="68"/>
      <c r="B219" s="74"/>
      <c r="C219" s="74"/>
      <c r="D219" s="26" t="s">
        <v>24</v>
      </c>
      <c r="E219" s="10" t="s">
        <v>8</v>
      </c>
      <c r="F219" s="29"/>
      <c r="G219" s="1"/>
      <c r="H219" s="1"/>
      <c r="I219" s="31" t="e">
        <f>H29+H56+H105+H126+#REF!+#REF!+H159+H197</f>
        <v>#REF!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3" spans="1:23" x14ac:dyDescent="0.25">
      <c r="H223" s="31" t="e">
        <f>H29+H56+H105+N140+H159+H197</f>
        <v>#REF!</v>
      </c>
      <c r="I223" s="31" t="e">
        <f>H29+H56+H105+#REF!+#REF!+H159+H197</f>
        <v>#REF!</v>
      </c>
    </row>
    <row r="226" spans="6:6" x14ac:dyDescent="0.25">
      <c r="F226" s="43">
        <f>H197++H159+H126+H102+H56+H29</f>
        <v>22995582</v>
      </c>
    </row>
  </sheetData>
  <mergeCells count="75">
    <mergeCell ref="D205:F205"/>
    <mergeCell ref="D207:F207"/>
    <mergeCell ref="D212:F212"/>
    <mergeCell ref="D176:F176"/>
    <mergeCell ref="A184:A219"/>
    <mergeCell ref="B184:B219"/>
    <mergeCell ref="C184:C219"/>
    <mergeCell ref="D184:F184"/>
    <mergeCell ref="D185:F185"/>
    <mergeCell ref="D189:F189"/>
    <mergeCell ref="D190:F190"/>
    <mergeCell ref="D194:F194"/>
    <mergeCell ref="D203:F203"/>
    <mergeCell ref="A149:A183"/>
    <mergeCell ref="B149:B183"/>
    <mergeCell ref="C149:C183"/>
    <mergeCell ref="D172:F172"/>
    <mergeCell ref="D124:F124"/>
    <mergeCell ref="D133:F133"/>
    <mergeCell ref="D135:F135"/>
    <mergeCell ref="D137:F137"/>
    <mergeCell ref="D141:F141"/>
    <mergeCell ref="D149:F149"/>
    <mergeCell ref="D150:F150"/>
    <mergeCell ref="D154:F154"/>
    <mergeCell ref="D155:F155"/>
    <mergeCell ref="D159:F159"/>
    <mergeCell ref="D168:F168"/>
    <mergeCell ref="D170:F170"/>
    <mergeCell ref="A114:A148"/>
    <mergeCell ref="B114:B148"/>
    <mergeCell ref="C114:C148"/>
    <mergeCell ref="D114:F114"/>
    <mergeCell ref="D115:F115"/>
    <mergeCell ref="D119:F119"/>
    <mergeCell ref="D120:F120"/>
    <mergeCell ref="D71:F71"/>
    <mergeCell ref="A79:A113"/>
    <mergeCell ref="B79:B113"/>
    <mergeCell ref="C79:C113"/>
    <mergeCell ref="D79:F79"/>
    <mergeCell ref="D80:F80"/>
    <mergeCell ref="D84:F84"/>
    <mergeCell ref="D85:F85"/>
    <mergeCell ref="D89:F89"/>
    <mergeCell ref="D98:F98"/>
    <mergeCell ref="A44:A78"/>
    <mergeCell ref="B44:B78"/>
    <mergeCell ref="C44:C78"/>
    <mergeCell ref="D100:F100"/>
    <mergeCell ref="D102:F102"/>
    <mergeCell ref="D106:F106"/>
    <mergeCell ref="D67:F67"/>
    <mergeCell ref="D19:F19"/>
    <mergeCell ref="D28:F28"/>
    <mergeCell ref="D30:F30"/>
    <mergeCell ref="D32:F32"/>
    <mergeCell ref="D36:F36"/>
    <mergeCell ref="D44:F44"/>
    <mergeCell ref="D45:F45"/>
    <mergeCell ref="D49:F49"/>
    <mergeCell ref="D50:F50"/>
    <mergeCell ref="D54:F54"/>
    <mergeCell ref="D63:F63"/>
    <mergeCell ref="D65:F65"/>
    <mergeCell ref="E1:F1"/>
    <mergeCell ref="E2:F2"/>
    <mergeCell ref="A5:F5"/>
    <mergeCell ref="A9:A43"/>
    <mergeCell ref="B9:B43"/>
    <mergeCell ref="C9:C43"/>
    <mergeCell ref="D9:F9"/>
    <mergeCell ref="D10:F10"/>
    <mergeCell ref="D14:F14"/>
    <mergeCell ref="D15:F15"/>
  </mergeCells>
  <pageMargins left="0.14000000000000001" right="0.15748031496062992" top="0.33" bottom="0.35433070866141736" header="0.31496062992125984" footer="0.31496062992125984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Диаграммы</vt:lpstr>
      </vt:variant>
      <vt:variant>
        <vt:i4>1</vt:i4>
      </vt:variant>
    </vt:vector>
  </HeadingPairs>
  <TitlesOfParts>
    <vt:vector size="15" baseType="lpstr">
      <vt:lpstr>Степновский дс 2</vt:lpstr>
      <vt:lpstr>крусносописнкий дс</vt:lpstr>
      <vt:lpstr>Преображенский дс (3)</vt:lpstr>
      <vt:lpstr>образце</vt:lpstr>
      <vt:lpstr>Степновская СШ</vt:lpstr>
      <vt:lpstr>Сахаптинская смш</vt:lpstr>
      <vt:lpstr>Подсосенская СШ</vt:lpstr>
      <vt:lpstr>Преображенская СШ</vt:lpstr>
      <vt:lpstr>Павловская СШ</vt:lpstr>
      <vt:lpstr>Крутоярская СШ</vt:lpstr>
      <vt:lpstr>Краснополянская СШ</vt:lpstr>
      <vt:lpstr>Дороховска СШ</vt:lpstr>
      <vt:lpstr>гляденская СШ</vt:lpstr>
      <vt:lpstr>Схновская СШ</vt:lpstr>
      <vt:lpstr>Диаграмма1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2018-03-21T04:27:19Z</cp:lastPrinted>
  <dcterms:created xsi:type="dcterms:W3CDTF">2014-12-11T13:26:08Z</dcterms:created>
  <dcterms:modified xsi:type="dcterms:W3CDTF">2018-03-27T08:53:46Z</dcterms:modified>
</cp:coreProperties>
</file>